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 showObjects="none"/>
  <mc:AlternateContent xmlns:mc="http://schemas.openxmlformats.org/markup-compatibility/2006">
    <mc:Choice Requires="x15">
      <x15ac:absPath xmlns:x15ac="http://schemas.microsoft.com/office/spreadsheetml/2010/11/ac" url="/Users/tabeafian/Downloads/RAAV_Results_MCDA_Repository/"/>
    </mc:Choice>
  </mc:AlternateContent>
  <xr:revisionPtr revIDLastSave="0" documentId="13_ncr:1_{9EA8FC78-7EC5-FA40-B6F7-39B6C28A1C8C}" xr6:coauthVersionLast="47" xr6:coauthVersionMax="47" xr10:uidLastSave="{00000000-0000-0000-0000-000000000000}"/>
  <bookViews>
    <workbookView xWindow="0" yWindow="760" windowWidth="30240" windowHeight="17720" xr2:uid="{00000000-000D-0000-FFFF-FFFF00000000}"/>
  </bookViews>
  <sheets>
    <sheet name="NWA_Muehlwald_Reference" sheetId="8" r:id="rId1"/>
    <sheet name="NWA_Muehlwald_Stk1" sheetId="3" r:id="rId2"/>
    <sheet name="NWA_Muehlwald_Stk2" sheetId="4" r:id="rId3"/>
    <sheet name="NWA_Muehlwald_Stk3" sheetId="5" r:id="rId4"/>
    <sheet name="NWA_Muehlwald_Stk4" sheetId="6" r:id="rId5"/>
    <sheet name="NWA_Muehlwald_Stk5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2" i="3" l="1"/>
  <c r="P14" i="8"/>
  <c r="O14" i="8"/>
  <c r="O52" i="8" s="1"/>
  <c r="N14" i="8"/>
  <c r="N52" i="8" s="1"/>
  <c r="M14" i="8"/>
  <c r="M52" i="8" s="1"/>
  <c r="L14" i="8"/>
  <c r="K14" i="8"/>
  <c r="K52" i="8" s="1"/>
  <c r="J14" i="8"/>
  <c r="I14" i="8"/>
  <c r="I11" i="8" s="1"/>
  <c r="H14" i="8"/>
  <c r="H52" i="8" s="1"/>
  <c r="G14" i="8"/>
  <c r="G52" i="8" s="1"/>
  <c r="F14" i="8"/>
  <c r="F52" i="8" s="1"/>
  <c r="E14" i="8"/>
  <c r="E52" i="8" s="1"/>
  <c r="D14" i="8"/>
  <c r="D52" i="8" s="1"/>
  <c r="C14" i="8"/>
  <c r="J52" i="8"/>
  <c r="P52" i="8"/>
  <c r="P38" i="8"/>
  <c r="O38" i="8"/>
  <c r="N38" i="8"/>
  <c r="M38" i="8"/>
  <c r="L38" i="8"/>
  <c r="K38" i="8"/>
  <c r="J38" i="8"/>
  <c r="I38" i="8"/>
  <c r="H38" i="8"/>
  <c r="G38" i="8"/>
  <c r="F38" i="8"/>
  <c r="E38" i="8"/>
  <c r="D38" i="8"/>
  <c r="C38" i="8"/>
  <c r="P37" i="8"/>
  <c r="O37" i="8"/>
  <c r="N37" i="8"/>
  <c r="M37" i="8"/>
  <c r="L37" i="8"/>
  <c r="K37" i="8"/>
  <c r="J37" i="8"/>
  <c r="I37" i="8"/>
  <c r="H37" i="8"/>
  <c r="G37" i="8"/>
  <c r="F37" i="8"/>
  <c r="E37" i="8"/>
  <c r="D37" i="8"/>
  <c r="C37" i="8"/>
  <c r="P36" i="8"/>
  <c r="O36" i="8"/>
  <c r="N36" i="8"/>
  <c r="M36" i="8"/>
  <c r="L36" i="8"/>
  <c r="K36" i="8"/>
  <c r="J36" i="8"/>
  <c r="I36" i="8"/>
  <c r="H36" i="8"/>
  <c r="G36" i="8"/>
  <c r="F36" i="8"/>
  <c r="E36" i="8"/>
  <c r="D36" i="8"/>
  <c r="C36" i="8"/>
  <c r="P35" i="8"/>
  <c r="O35" i="8"/>
  <c r="N35" i="8"/>
  <c r="M35" i="8"/>
  <c r="L35" i="8"/>
  <c r="K35" i="8"/>
  <c r="J35" i="8"/>
  <c r="I35" i="8"/>
  <c r="H35" i="8"/>
  <c r="G35" i="8"/>
  <c r="F35" i="8"/>
  <c r="E35" i="8"/>
  <c r="D35" i="8"/>
  <c r="C35" i="8"/>
  <c r="P34" i="8"/>
  <c r="O34" i="8"/>
  <c r="N34" i="8"/>
  <c r="M34" i="8"/>
  <c r="L34" i="8"/>
  <c r="K34" i="8"/>
  <c r="J34" i="8"/>
  <c r="I34" i="8"/>
  <c r="H34" i="8"/>
  <c r="G34" i="8"/>
  <c r="F34" i="8"/>
  <c r="E34" i="8"/>
  <c r="D34" i="8"/>
  <c r="C34" i="8"/>
  <c r="P33" i="8"/>
  <c r="O33" i="8"/>
  <c r="N33" i="8"/>
  <c r="M33" i="8"/>
  <c r="L33" i="8"/>
  <c r="K33" i="8"/>
  <c r="J33" i="8"/>
  <c r="I33" i="8"/>
  <c r="H33" i="8"/>
  <c r="G33" i="8"/>
  <c r="F33" i="8"/>
  <c r="E33" i="8"/>
  <c r="D33" i="8"/>
  <c r="C33" i="8"/>
  <c r="N31" i="8"/>
  <c r="M31" i="8"/>
  <c r="L31" i="8"/>
  <c r="K31" i="8"/>
  <c r="J31" i="8"/>
  <c r="I31" i="8"/>
  <c r="H31" i="8"/>
  <c r="G31" i="8"/>
  <c r="F31" i="8"/>
  <c r="E31" i="8"/>
  <c r="D31" i="8"/>
  <c r="C31" i="8"/>
  <c r="N19" i="8"/>
  <c r="N44" i="8" s="1"/>
  <c r="M19" i="8"/>
  <c r="M44" i="8" s="1"/>
  <c r="L19" i="8"/>
  <c r="L44" i="8" s="1"/>
  <c r="K19" i="8"/>
  <c r="K44" i="8" s="1"/>
  <c r="J19" i="8"/>
  <c r="J44" i="8" s="1"/>
  <c r="I19" i="8"/>
  <c r="I44" i="8" s="1"/>
  <c r="H19" i="8"/>
  <c r="H44" i="8" s="1"/>
  <c r="G19" i="8"/>
  <c r="G44" i="8" s="1"/>
  <c r="F19" i="8"/>
  <c r="F44" i="8" s="1"/>
  <c r="E19" i="8"/>
  <c r="E44" i="8" s="1"/>
  <c r="D19" i="8"/>
  <c r="D44" i="8" s="1"/>
  <c r="C19" i="8"/>
  <c r="C44" i="8" s="1"/>
  <c r="P52" i="7"/>
  <c r="O52" i="7"/>
  <c r="N52" i="7"/>
  <c r="M52" i="7"/>
  <c r="L52" i="7"/>
  <c r="K52" i="7"/>
  <c r="J52" i="7"/>
  <c r="I52" i="7"/>
  <c r="H52" i="7"/>
  <c r="G52" i="7"/>
  <c r="F52" i="7"/>
  <c r="Q52" i="7" s="1"/>
  <c r="E52" i="7"/>
  <c r="D52" i="7"/>
  <c r="C52" i="7"/>
  <c r="E44" i="7"/>
  <c r="P38" i="7"/>
  <c r="O38" i="7"/>
  <c r="N38" i="7"/>
  <c r="M38" i="7"/>
  <c r="L38" i="7"/>
  <c r="K38" i="7"/>
  <c r="J38" i="7"/>
  <c r="I38" i="7"/>
  <c r="H38" i="7"/>
  <c r="G38" i="7"/>
  <c r="F38" i="7"/>
  <c r="E38" i="7"/>
  <c r="D38" i="7"/>
  <c r="C38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P34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N31" i="7"/>
  <c r="M31" i="7"/>
  <c r="L31" i="7"/>
  <c r="K31" i="7"/>
  <c r="J31" i="7"/>
  <c r="I31" i="7"/>
  <c r="H31" i="7"/>
  <c r="G31" i="7"/>
  <c r="F31" i="7"/>
  <c r="E31" i="7"/>
  <c r="D31" i="7"/>
  <c r="C31" i="7"/>
  <c r="N19" i="7"/>
  <c r="N44" i="7" s="1"/>
  <c r="M19" i="7"/>
  <c r="M44" i="7" s="1"/>
  <c r="L19" i="7"/>
  <c r="L44" i="7" s="1"/>
  <c r="K19" i="7"/>
  <c r="K44" i="7" s="1"/>
  <c r="J19" i="7"/>
  <c r="J44" i="7" s="1"/>
  <c r="I19" i="7"/>
  <c r="I44" i="7" s="1"/>
  <c r="H19" i="7"/>
  <c r="H44" i="7" s="1"/>
  <c r="G19" i="7"/>
  <c r="G44" i="7" s="1"/>
  <c r="F19" i="7"/>
  <c r="F44" i="7" s="1"/>
  <c r="E19" i="7"/>
  <c r="D19" i="7"/>
  <c r="D44" i="7" s="1"/>
  <c r="C19" i="7"/>
  <c r="C44" i="7" s="1"/>
  <c r="B14" i="7"/>
  <c r="B11" i="7"/>
  <c r="B9" i="7"/>
  <c r="B7" i="7"/>
  <c r="P52" i="6"/>
  <c r="O52" i="6"/>
  <c r="N52" i="6"/>
  <c r="M52" i="6"/>
  <c r="L52" i="6"/>
  <c r="K52" i="6"/>
  <c r="J52" i="6"/>
  <c r="I52" i="6"/>
  <c r="H52" i="6"/>
  <c r="G52" i="6"/>
  <c r="F52" i="6"/>
  <c r="E52" i="6"/>
  <c r="D52" i="6"/>
  <c r="Q52" i="6" s="1"/>
  <c r="C52" i="6"/>
  <c r="P38" i="6"/>
  <c r="O38" i="6"/>
  <c r="N38" i="6"/>
  <c r="M38" i="6"/>
  <c r="L38" i="6"/>
  <c r="K38" i="6"/>
  <c r="J38" i="6"/>
  <c r="I38" i="6"/>
  <c r="H38" i="6"/>
  <c r="G38" i="6"/>
  <c r="F38" i="6"/>
  <c r="E38" i="6"/>
  <c r="D38" i="6"/>
  <c r="C38" i="6"/>
  <c r="P37" i="6"/>
  <c r="O37" i="6"/>
  <c r="N37" i="6"/>
  <c r="M37" i="6"/>
  <c r="L37" i="6"/>
  <c r="K37" i="6"/>
  <c r="J37" i="6"/>
  <c r="I37" i="6"/>
  <c r="H37" i="6"/>
  <c r="G37" i="6"/>
  <c r="F37" i="6"/>
  <c r="E37" i="6"/>
  <c r="D37" i="6"/>
  <c r="C37" i="6"/>
  <c r="P36" i="6"/>
  <c r="O36" i="6"/>
  <c r="N36" i="6"/>
  <c r="M36" i="6"/>
  <c r="L36" i="6"/>
  <c r="K36" i="6"/>
  <c r="J36" i="6"/>
  <c r="I36" i="6"/>
  <c r="H36" i="6"/>
  <c r="G36" i="6"/>
  <c r="F36" i="6"/>
  <c r="E36" i="6"/>
  <c r="D36" i="6"/>
  <c r="C36" i="6"/>
  <c r="P35" i="6"/>
  <c r="O35" i="6"/>
  <c r="N35" i="6"/>
  <c r="M35" i="6"/>
  <c r="L35" i="6"/>
  <c r="K35" i="6"/>
  <c r="J35" i="6"/>
  <c r="I35" i="6"/>
  <c r="H35" i="6"/>
  <c r="G35" i="6"/>
  <c r="F35" i="6"/>
  <c r="E35" i="6"/>
  <c r="D35" i="6"/>
  <c r="C35" i="6"/>
  <c r="P34" i="6"/>
  <c r="O34" i="6"/>
  <c r="N34" i="6"/>
  <c r="M34" i="6"/>
  <c r="L34" i="6"/>
  <c r="K34" i="6"/>
  <c r="J34" i="6"/>
  <c r="I34" i="6"/>
  <c r="I39" i="6" s="1"/>
  <c r="H34" i="6"/>
  <c r="G34" i="6"/>
  <c r="F34" i="6"/>
  <c r="E34" i="6"/>
  <c r="D34" i="6"/>
  <c r="C34" i="6"/>
  <c r="P33" i="6"/>
  <c r="O33" i="6"/>
  <c r="N33" i="6"/>
  <c r="M33" i="6"/>
  <c r="L33" i="6"/>
  <c r="K33" i="6"/>
  <c r="J33" i="6"/>
  <c r="I33" i="6"/>
  <c r="H33" i="6"/>
  <c r="G33" i="6"/>
  <c r="F33" i="6"/>
  <c r="E33" i="6"/>
  <c r="D33" i="6"/>
  <c r="C33" i="6"/>
  <c r="N31" i="6"/>
  <c r="M31" i="6"/>
  <c r="L31" i="6"/>
  <c r="K31" i="6"/>
  <c r="J31" i="6"/>
  <c r="I31" i="6"/>
  <c r="H31" i="6"/>
  <c r="G31" i="6"/>
  <c r="F31" i="6"/>
  <c r="E31" i="6"/>
  <c r="D31" i="6"/>
  <c r="C31" i="6"/>
  <c r="N19" i="6"/>
  <c r="N44" i="6" s="1"/>
  <c r="M19" i="6"/>
  <c r="M44" i="6" s="1"/>
  <c r="L19" i="6"/>
  <c r="L44" i="6" s="1"/>
  <c r="K19" i="6"/>
  <c r="K44" i="6" s="1"/>
  <c r="J19" i="6"/>
  <c r="J44" i="6" s="1"/>
  <c r="I19" i="6"/>
  <c r="I44" i="6" s="1"/>
  <c r="H19" i="6"/>
  <c r="H44" i="6" s="1"/>
  <c r="G19" i="6"/>
  <c r="G44" i="6" s="1"/>
  <c r="F19" i="6"/>
  <c r="F44" i="6" s="1"/>
  <c r="E19" i="6"/>
  <c r="E44" i="6" s="1"/>
  <c r="D19" i="6"/>
  <c r="D44" i="6" s="1"/>
  <c r="C19" i="6"/>
  <c r="C44" i="6" s="1"/>
  <c r="B14" i="6"/>
  <c r="B11" i="6"/>
  <c r="B9" i="6"/>
  <c r="B7" i="6"/>
  <c r="P52" i="5"/>
  <c r="O52" i="5"/>
  <c r="N52" i="5"/>
  <c r="M52" i="5"/>
  <c r="L52" i="5"/>
  <c r="K52" i="5"/>
  <c r="J52" i="5"/>
  <c r="I52" i="5"/>
  <c r="H52" i="5"/>
  <c r="G52" i="5"/>
  <c r="F52" i="5"/>
  <c r="E52" i="5"/>
  <c r="D52" i="5"/>
  <c r="C52" i="5"/>
  <c r="Q52" i="5" s="1"/>
  <c r="P38" i="5"/>
  <c r="O38" i="5"/>
  <c r="N38" i="5"/>
  <c r="M38" i="5"/>
  <c r="L38" i="5"/>
  <c r="K38" i="5"/>
  <c r="J38" i="5"/>
  <c r="I38" i="5"/>
  <c r="H38" i="5"/>
  <c r="G38" i="5"/>
  <c r="F38" i="5"/>
  <c r="E38" i="5"/>
  <c r="D38" i="5"/>
  <c r="C38" i="5"/>
  <c r="P37" i="5"/>
  <c r="O37" i="5"/>
  <c r="N37" i="5"/>
  <c r="M37" i="5"/>
  <c r="L37" i="5"/>
  <c r="K37" i="5"/>
  <c r="J37" i="5"/>
  <c r="I37" i="5"/>
  <c r="H37" i="5"/>
  <c r="G37" i="5"/>
  <c r="F37" i="5"/>
  <c r="E37" i="5"/>
  <c r="D37" i="5"/>
  <c r="C37" i="5"/>
  <c r="P36" i="5"/>
  <c r="O36" i="5"/>
  <c r="N36" i="5"/>
  <c r="M36" i="5"/>
  <c r="L36" i="5"/>
  <c r="K36" i="5"/>
  <c r="J36" i="5"/>
  <c r="I36" i="5"/>
  <c r="H36" i="5"/>
  <c r="G36" i="5"/>
  <c r="F36" i="5"/>
  <c r="E36" i="5"/>
  <c r="D36" i="5"/>
  <c r="C36" i="5"/>
  <c r="P35" i="5"/>
  <c r="O35" i="5"/>
  <c r="N35" i="5"/>
  <c r="M35" i="5"/>
  <c r="L35" i="5"/>
  <c r="K35" i="5"/>
  <c r="J35" i="5"/>
  <c r="I35" i="5"/>
  <c r="H35" i="5"/>
  <c r="G35" i="5"/>
  <c r="F35" i="5"/>
  <c r="E35" i="5"/>
  <c r="D35" i="5"/>
  <c r="C35" i="5"/>
  <c r="P34" i="5"/>
  <c r="O34" i="5"/>
  <c r="N34" i="5"/>
  <c r="M34" i="5"/>
  <c r="L34" i="5"/>
  <c r="K34" i="5"/>
  <c r="J34" i="5"/>
  <c r="I34" i="5"/>
  <c r="H34" i="5"/>
  <c r="G34" i="5"/>
  <c r="F34" i="5"/>
  <c r="E34" i="5"/>
  <c r="D34" i="5"/>
  <c r="C34" i="5"/>
  <c r="P33" i="5"/>
  <c r="O33" i="5"/>
  <c r="N33" i="5"/>
  <c r="M33" i="5"/>
  <c r="L33" i="5"/>
  <c r="K33" i="5"/>
  <c r="J33" i="5"/>
  <c r="J39" i="5" s="1"/>
  <c r="I33" i="5"/>
  <c r="H33" i="5"/>
  <c r="G33" i="5"/>
  <c r="F33" i="5"/>
  <c r="E33" i="5"/>
  <c r="D33" i="5"/>
  <c r="C33" i="5"/>
  <c r="N31" i="5"/>
  <c r="M31" i="5"/>
  <c r="L31" i="5"/>
  <c r="K31" i="5"/>
  <c r="J31" i="5"/>
  <c r="I31" i="5"/>
  <c r="H31" i="5"/>
  <c r="G31" i="5"/>
  <c r="F31" i="5"/>
  <c r="E31" i="5"/>
  <c r="D31" i="5"/>
  <c r="C31" i="5"/>
  <c r="N19" i="5"/>
  <c r="N44" i="5" s="1"/>
  <c r="M19" i="5"/>
  <c r="M44" i="5" s="1"/>
  <c r="L19" i="5"/>
  <c r="L44" i="5" s="1"/>
  <c r="K19" i="5"/>
  <c r="K44" i="5" s="1"/>
  <c r="J19" i="5"/>
  <c r="J44" i="5" s="1"/>
  <c r="I19" i="5"/>
  <c r="I44" i="5" s="1"/>
  <c r="H19" i="5"/>
  <c r="H44" i="5" s="1"/>
  <c r="G19" i="5"/>
  <c r="G44" i="5" s="1"/>
  <c r="F19" i="5"/>
  <c r="F44" i="5" s="1"/>
  <c r="E19" i="5"/>
  <c r="E44" i="5" s="1"/>
  <c r="D19" i="5"/>
  <c r="D44" i="5" s="1"/>
  <c r="C19" i="5"/>
  <c r="C44" i="5" s="1"/>
  <c r="B14" i="5"/>
  <c r="B11" i="5"/>
  <c r="B9" i="5"/>
  <c r="B7" i="5"/>
  <c r="P52" i="4"/>
  <c r="O52" i="4"/>
  <c r="N52" i="4"/>
  <c r="M52" i="4"/>
  <c r="L52" i="4"/>
  <c r="K52" i="4"/>
  <c r="J52" i="4"/>
  <c r="I52" i="4"/>
  <c r="H52" i="4"/>
  <c r="G52" i="4"/>
  <c r="F52" i="4"/>
  <c r="E52" i="4"/>
  <c r="D52" i="4"/>
  <c r="C52" i="4"/>
  <c r="Q52" i="4" s="1"/>
  <c r="N44" i="4"/>
  <c r="F44" i="4"/>
  <c r="P38" i="4"/>
  <c r="O38" i="4"/>
  <c r="N38" i="4"/>
  <c r="M38" i="4"/>
  <c r="L38" i="4"/>
  <c r="K38" i="4"/>
  <c r="J38" i="4"/>
  <c r="I38" i="4"/>
  <c r="H38" i="4"/>
  <c r="G38" i="4"/>
  <c r="F38" i="4"/>
  <c r="E38" i="4"/>
  <c r="D38" i="4"/>
  <c r="C38" i="4"/>
  <c r="P37" i="4"/>
  <c r="O37" i="4"/>
  <c r="N37" i="4"/>
  <c r="M37" i="4"/>
  <c r="L37" i="4"/>
  <c r="K37" i="4"/>
  <c r="J37" i="4"/>
  <c r="I37" i="4"/>
  <c r="H37" i="4"/>
  <c r="G37" i="4"/>
  <c r="F37" i="4"/>
  <c r="E37" i="4"/>
  <c r="D37" i="4"/>
  <c r="C37" i="4"/>
  <c r="P36" i="4"/>
  <c r="O36" i="4"/>
  <c r="N36" i="4"/>
  <c r="M36" i="4"/>
  <c r="L36" i="4"/>
  <c r="K36" i="4"/>
  <c r="J36" i="4"/>
  <c r="I36" i="4"/>
  <c r="H36" i="4"/>
  <c r="G36" i="4"/>
  <c r="F36" i="4"/>
  <c r="E36" i="4"/>
  <c r="D36" i="4"/>
  <c r="C36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P33" i="4"/>
  <c r="O33" i="4"/>
  <c r="N33" i="4"/>
  <c r="M33" i="4"/>
  <c r="L33" i="4"/>
  <c r="K33" i="4"/>
  <c r="J33" i="4"/>
  <c r="I33" i="4"/>
  <c r="H33" i="4"/>
  <c r="G33" i="4"/>
  <c r="G39" i="4" s="1"/>
  <c r="F33" i="4"/>
  <c r="E33" i="4"/>
  <c r="D33" i="4"/>
  <c r="C33" i="4"/>
  <c r="N31" i="4"/>
  <c r="M31" i="4"/>
  <c r="L31" i="4"/>
  <c r="K31" i="4"/>
  <c r="J31" i="4"/>
  <c r="I31" i="4"/>
  <c r="H31" i="4"/>
  <c r="G31" i="4"/>
  <c r="F31" i="4"/>
  <c r="E31" i="4"/>
  <c r="D31" i="4"/>
  <c r="C31" i="4"/>
  <c r="N19" i="4"/>
  <c r="M19" i="4"/>
  <c r="M44" i="4" s="1"/>
  <c r="L19" i="4"/>
  <c r="L44" i="4" s="1"/>
  <c r="K19" i="4"/>
  <c r="K44" i="4" s="1"/>
  <c r="J19" i="4"/>
  <c r="J44" i="4" s="1"/>
  <c r="I19" i="4"/>
  <c r="I44" i="4" s="1"/>
  <c r="H19" i="4"/>
  <c r="H44" i="4" s="1"/>
  <c r="G19" i="4"/>
  <c r="G44" i="4" s="1"/>
  <c r="F19" i="4"/>
  <c r="E19" i="4"/>
  <c r="E44" i="4" s="1"/>
  <c r="D19" i="4"/>
  <c r="D44" i="4" s="1"/>
  <c r="C19" i="4"/>
  <c r="C44" i="4" s="1"/>
  <c r="B14" i="4"/>
  <c r="B11" i="4"/>
  <c r="B9" i="4"/>
  <c r="B7" i="4"/>
  <c r="D39" i="6" l="1"/>
  <c r="E39" i="6"/>
  <c r="L39" i="6"/>
  <c r="I39" i="5"/>
  <c r="I51" i="5" s="1"/>
  <c r="C39" i="4"/>
  <c r="E39" i="5"/>
  <c r="E51" i="5" s="1"/>
  <c r="F39" i="5"/>
  <c r="F50" i="5" s="1"/>
  <c r="M39" i="5"/>
  <c r="N39" i="5"/>
  <c r="K39" i="5"/>
  <c r="K47" i="5" s="1"/>
  <c r="O39" i="4"/>
  <c r="O50" i="4" s="1"/>
  <c r="K39" i="4"/>
  <c r="K47" i="4" s="1"/>
  <c r="C11" i="8"/>
  <c r="O39" i="8"/>
  <c r="O48" i="8" s="1"/>
  <c r="I52" i="8"/>
  <c r="F39" i="8"/>
  <c r="F51" i="8" s="1"/>
  <c r="J39" i="8"/>
  <c r="J49" i="8" s="1"/>
  <c r="N39" i="8"/>
  <c r="N47" i="8" s="1"/>
  <c r="C52" i="8"/>
  <c r="Q52" i="8" s="1"/>
  <c r="K9" i="8"/>
  <c r="J47" i="8"/>
  <c r="J51" i="8"/>
  <c r="K7" i="8"/>
  <c r="E39" i="8"/>
  <c r="E46" i="8" s="1"/>
  <c r="I39" i="8"/>
  <c r="I46" i="8" s="1"/>
  <c r="M39" i="8"/>
  <c r="M48" i="8" s="1"/>
  <c r="G11" i="8"/>
  <c r="G9" i="8" s="1"/>
  <c r="E11" i="8"/>
  <c r="K11" i="8"/>
  <c r="L52" i="8"/>
  <c r="B14" i="8"/>
  <c r="F50" i="8"/>
  <c r="J50" i="8"/>
  <c r="I47" i="8"/>
  <c r="C39" i="8"/>
  <c r="C47" i="8" s="1"/>
  <c r="K39" i="8"/>
  <c r="K46" i="8" s="1"/>
  <c r="D39" i="8"/>
  <c r="D46" i="8" s="1"/>
  <c r="H39" i="8"/>
  <c r="H48" i="8" s="1"/>
  <c r="L39" i="8"/>
  <c r="L47" i="8" s="1"/>
  <c r="P39" i="8"/>
  <c r="P49" i="8" s="1"/>
  <c r="G39" i="8"/>
  <c r="G46" i="8" s="1"/>
  <c r="E39" i="4"/>
  <c r="E51" i="4" s="1"/>
  <c r="I39" i="4"/>
  <c r="I51" i="4" s="1"/>
  <c r="M39" i="4"/>
  <c r="M46" i="4" s="1"/>
  <c r="F39" i="4"/>
  <c r="F51" i="4" s="1"/>
  <c r="J39" i="4"/>
  <c r="J51" i="4" s="1"/>
  <c r="N39" i="4"/>
  <c r="N47" i="4" s="1"/>
  <c r="I49" i="4"/>
  <c r="E47" i="5"/>
  <c r="M47" i="5"/>
  <c r="E49" i="5"/>
  <c r="I49" i="5"/>
  <c r="M49" i="5"/>
  <c r="M51" i="5"/>
  <c r="F47" i="5"/>
  <c r="J47" i="5"/>
  <c r="N47" i="5"/>
  <c r="J49" i="5"/>
  <c r="N49" i="5"/>
  <c r="J51" i="5"/>
  <c r="N51" i="5"/>
  <c r="F39" i="6"/>
  <c r="F51" i="6" s="1"/>
  <c r="J39" i="6"/>
  <c r="J50" i="6" s="1"/>
  <c r="N39" i="6"/>
  <c r="N47" i="6" s="1"/>
  <c r="D47" i="6"/>
  <c r="L47" i="6"/>
  <c r="D49" i="6"/>
  <c r="L49" i="6"/>
  <c r="D51" i="6"/>
  <c r="L51" i="6"/>
  <c r="C39" i="6"/>
  <c r="G39" i="6"/>
  <c r="G48" i="6" s="1"/>
  <c r="K39" i="6"/>
  <c r="K46" i="6" s="1"/>
  <c r="O39" i="6"/>
  <c r="O50" i="6" s="1"/>
  <c r="F51" i="7"/>
  <c r="E39" i="7"/>
  <c r="E50" i="7" s="1"/>
  <c r="I39" i="7"/>
  <c r="I47" i="7" s="1"/>
  <c r="M39" i="7"/>
  <c r="M47" i="7" s="1"/>
  <c r="F39" i="7"/>
  <c r="F49" i="7" s="1"/>
  <c r="J39" i="7"/>
  <c r="J51" i="7" s="1"/>
  <c r="N39" i="7"/>
  <c r="N48" i="7" s="1"/>
  <c r="P46" i="7"/>
  <c r="M48" i="7"/>
  <c r="M46" i="7"/>
  <c r="F46" i="7"/>
  <c r="F48" i="7"/>
  <c r="J50" i="7"/>
  <c r="N50" i="7"/>
  <c r="C39" i="7"/>
  <c r="C46" i="7" s="1"/>
  <c r="G39" i="7"/>
  <c r="G46" i="7" s="1"/>
  <c r="K39" i="7"/>
  <c r="K46" i="7" s="1"/>
  <c r="O39" i="7"/>
  <c r="O47" i="7" s="1"/>
  <c r="D39" i="7"/>
  <c r="D46" i="7" s="1"/>
  <c r="H39" i="7"/>
  <c r="H46" i="7" s="1"/>
  <c r="L39" i="7"/>
  <c r="L47" i="7" s="1"/>
  <c r="P39" i="7"/>
  <c r="P47" i="7" s="1"/>
  <c r="M39" i="6"/>
  <c r="M51" i="6" s="1"/>
  <c r="J48" i="6"/>
  <c r="J46" i="6"/>
  <c r="G50" i="6"/>
  <c r="E47" i="6"/>
  <c r="I49" i="6"/>
  <c r="E51" i="6"/>
  <c r="D46" i="6"/>
  <c r="L46" i="6"/>
  <c r="J47" i="6"/>
  <c r="D48" i="6"/>
  <c r="H48" i="6"/>
  <c r="L48" i="6"/>
  <c r="J49" i="6"/>
  <c r="D50" i="6"/>
  <c r="L50" i="6"/>
  <c r="F50" i="6"/>
  <c r="F46" i="6"/>
  <c r="C50" i="6"/>
  <c r="C48" i="6"/>
  <c r="C46" i="6"/>
  <c r="O48" i="6"/>
  <c r="I47" i="6"/>
  <c r="E49" i="6"/>
  <c r="I51" i="6"/>
  <c r="E46" i="6"/>
  <c r="I46" i="6"/>
  <c r="C47" i="6"/>
  <c r="G47" i="6"/>
  <c r="E48" i="6"/>
  <c r="I48" i="6"/>
  <c r="C49" i="6"/>
  <c r="E50" i="6"/>
  <c r="I50" i="6"/>
  <c r="C51" i="6"/>
  <c r="G51" i="6"/>
  <c r="O51" i="6"/>
  <c r="H39" i="6"/>
  <c r="H46" i="6" s="1"/>
  <c r="P39" i="6"/>
  <c r="P50" i="6" s="1"/>
  <c r="K48" i="5"/>
  <c r="F51" i="5"/>
  <c r="E48" i="5"/>
  <c r="E50" i="5"/>
  <c r="I48" i="5"/>
  <c r="I46" i="5"/>
  <c r="M48" i="5"/>
  <c r="M46" i="5"/>
  <c r="M50" i="5"/>
  <c r="K49" i="5"/>
  <c r="K51" i="5"/>
  <c r="F46" i="5"/>
  <c r="F48" i="5"/>
  <c r="J50" i="5"/>
  <c r="J48" i="5"/>
  <c r="J46" i="5"/>
  <c r="N50" i="5"/>
  <c r="N48" i="5"/>
  <c r="N46" i="5"/>
  <c r="C39" i="5"/>
  <c r="C47" i="5" s="1"/>
  <c r="G39" i="5"/>
  <c r="G48" i="5" s="1"/>
  <c r="O39" i="5"/>
  <c r="O50" i="5" s="1"/>
  <c r="K46" i="5"/>
  <c r="D39" i="5"/>
  <c r="D46" i="5" s="1"/>
  <c r="H39" i="5"/>
  <c r="H46" i="5" s="1"/>
  <c r="L39" i="5"/>
  <c r="L46" i="5" s="1"/>
  <c r="P39" i="5"/>
  <c r="P46" i="5" s="1"/>
  <c r="K48" i="4"/>
  <c r="D46" i="4"/>
  <c r="I48" i="4"/>
  <c r="C47" i="4"/>
  <c r="G47" i="4"/>
  <c r="C49" i="4"/>
  <c r="G49" i="4"/>
  <c r="C51" i="4"/>
  <c r="G51" i="4"/>
  <c r="C48" i="4"/>
  <c r="G48" i="4"/>
  <c r="C50" i="4"/>
  <c r="G50" i="4"/>
  <c r="D50" i="4"/>
  <c r="H50" i="4"/>
  <c r="E46" i="4"/>
  <c r="F50" i="4"/>
  <c r="F48" i="4"/>
  <c r="F46" i="4"/>
  <c r="D39" i="4"/>
  <c r="D47" i="4" s="1"/>
  <c r="H39" i="4"/>
  <c r="H48" i="4" s="1"/>
  <c r="L39" i="4"/>
  <c r="L50" i="4" s="1"/>
  <c r="P39" i="4"/>
  <c r="P48" i="4" s="1"/>
  <c r="C46" i="4"/>
  <c r="G46" i="4"/>
  <c r="O46" i="4"/>
  <c r="P33" i="3"/>
  <c r="P34" i="3"/>
  <c r="P35" i="3"/>
  <c r="P36" i="3"/>
  <c r="P37" i="3"/>
  <c r="P38" i="3"/>
  <c r="O38" i="3"/>
  <c r="O37" i="3"/>
  <c r="O36" i="3"/>
  <c r="O35" i="3"/>
  <c r="O34" i="3"/>
  <c r="O33" i="3"/>
  <c r="F49" i="5" l="1"/>
  <c r="E47" i="8"/>
  <c r="O47" i="6"/>
  <c r="F49" i="6"/>
  <c r="I46" i="7"/>
  <c r="E51" i="7"/>
  <c r="I47" i="5"/>
  <c r="J49" i="4"/>
  <c r="E46" i="7"/>
  <c r="E47" i="7"/>
  <c r="I50" i="8"/>
  <c r="I46" i="4"/>
  <c r="I50" i="5"/>
  <c r="F48" i="6"/>
  <c r="Q48" i="6" s="1"/>
  <c r="M47" i="4"/>
  <c r="E50" i="8"/>
  <c r="J48" i="4"/>
  <c r="I47" i="4"/>
  <c r="J47" i="4"/>
  <c r="I51" i="8"/>
  <c r="E48" i="8"/>
  <c r="J50" i="4"/>
  <c r="I50" i="4"/>
  <c r="C48" i="5"/>
  <c r="Q48" i="5" s="1"/>
  <c r="E46" i="5"/>
  <c r="J51" i="6"/>
  <c r="F47" i="6"/>
  <c r="E47" i="4"/>
  <c r="E51" i="8"/>
  <c r="J46" i="4"/>
  <c r="O49" i="6"/>
  <c r="F50" i="7"/>
  <c r="F49" i="4"/>
  <c r="J46" i="8"/>
  <c r="I49" i="8"/>
  <c r="F47" i="8"/>
  <c r="F46" i="8"/>
  <c r="E49" i="8"/>
  <c r="K47" i="6"/>
  <c r="O46" i="6"/>
  <c r="N49" i="6"/>
  <c r="K48" i="6"/>
  <c r="K50" i="5"/>
  <c r="R51" i="5"/>
  <c r="N46" i="4"/>
  <c r="M51" i="4"/>
  <c r="M48" i="4"/>
  <c r="M50" i="4"/>
  <c r="M49" i="4"/>
  <c r="O48" i="7"/>
  <c r="M50" i="7"/>
  <c r="P50" i="7"/>
  <c r="K51" i="6"/>
  <c r="N50" i="6"/>
  <c r="N51" i="6"/>
  <c r="K46" i="4"/>
  <c r="K50" i="4"/>
  <c r="O51" i="4"/>
  <c r="O49" i="4"/>
  <c r="O47" i="4"/>
  <c r="O48" i="4"/>
  <c r="K51" i="4"/>
  <c r="R51" i="4" s="1"/>
  <c r="K49" i="4"/>
  <c r="O51" i="8"/>
  <c r="M47" i="8"/>
  <c r="M49" i="8"/>
  <c r="M46" i="8"/>
  <c r="O49" i="8"/>
  <c r="J48" i="8"/>
  <c r="O47" i="8"/>
  <c r="O46" i="8"/>
  <c r="O50" i="8"/>
  <c r="N50" i="8"/>
  <c r="F48" i="8"/>
  <c r="M50" i="8"/>
  <c r="C9" i="8"/>
  <c r="C7" i="8" s="1"/>
  <c r="B7" i="8" s="1"/>
  <c r="F49" i="8"/>
  <c r="N51" i="8"/>
  <c r="R51" i="8" s="1"/>
  <c r="N49" i="8"/>
  <c r="N46" i="8"/>
  <c r="K48" i="8"/>
  <c r="P51" i="8"/>
  <c r="N48" i="8"/>
  <c r="I48" i="8"/>
  <c r="B11" i="8"/>
  <c r="M51" i="8"/>
  <c r="K50" i="8"/>
  <c r="H47" i="8"/>
  <c r="L49" i="8"/>
  <c r="L48" i="8"/>
  <c r="G48" i="8"/>
  <c r="P48" i="8"/>
  <c r="L51" i="8"/>
  <c r="H49" i="8"/>
  <c r="D47" i="8"/>
  <c r="K51" i="8"/>
  <c r="K49" i="8"/>
  <c r="K47" i="8"/>
  <c r="R47" i="8" s="1"/>
  <c r="L50" i="8"/>
  <c r="D48" i="8"/>
  <c r="C46" i="8"/>
  <c r="G50" i="8"/>
  <c r="C48" i="8"/>
  <c r="P46" i="8"/>
  <c r="H51" i="8"/>
  <c r="D49" i="8"/>
  <c r="P47" i="8"/>
  <c r="P50" i="8"/>
  <c r="G51" i="8"/>
  <c r="G49" i="8"/>
  <c r="G47" i="8"/>
  <c r="H50" i="8"/>
  <c r="L46" i="8"/>
  <c r="C50" i="8"/>
  <c r="H46" i="8"/>
  <c r="D51" i="8"/>
  <c r="C51" i="8"/>
  <c r="C49" i="8"/>
  <c r="D50" i="8"/>
  <c r="N50" i="4"/>
  <c r="E48" i="4"/>
  <c r="D48" i="4"/>
  <c r="E49" i="4"/>
  <c r="N51" i="4"/>
  <c r="F47" i="4"/>
  <c r="E50" i="4"/>
  <c r="N49" i="4"/>
  <c r="N48" i="4"/>
  <c r="O48" i="5"/>
  <c r="O46" i="5"/>
  <c r="R46" i="5" s="1"/>
  <c r="O49" i="5"/>
  <c r="O51" i="5"/>
  <c r="O47" i="5"/>
  <c r="C50" i="5"/>
  <c r="K49" i="6"/>
  <c r="N46" i="6"/>
  <c r="G46" i="6"/>
  <c r="K50" i="6"/>
  <c r="G49" i="6"/>
  <c r="N48" i="6"/>
  <c r="N46" i="7"/>
  <c r="K49" i="7"/>
  <c r="N49" i="7"/>
  <c r="J47" i="7"/>
  <c r="I49" i="7"/>
  <c r="J46" i="7"/>
  <c r="Q46" i="7" s="1"/>
  <c r="K47" i="7"/>
  <c r="R47" i="7" s="1"/>
  <c r="I48" i="7"/>
  <c r="E48" i="7"/>
  <c r="P48" i="7"/>
  <c r="O50" i="7"/>
  <c r="O46" i="7"/>
  <c r="N51" i="7"/>
  <c r="J49" i="7"/>
  <c r="F47" i="7"/>
  <c r="E49" i="7"/>
  <c r="M49" i="7"/>
  <c r="K51" i="7"/>
  <c r="N47" i="7"/>
  <c r="L50" i="7"/>
  <c r="L46" i="7"/>
  <c r="R46" i="7" s="1"/>
  <c r="K48" i="7"/>
  <c r="R48" i="7" s="1"/>
  <c r="I51" i="7"/>
  <c r="J48" i="7"/>
  <c r="I50" i="7"/>
  <c r="L48" i="7"/>
  <c r="K50" i="7"/>
  <c r="R50" i="7" s="1"/>
  <c r="M51" i="7"/>
  <c r="H51" i="7"/>
  <c r="H49" i="7"/>
  <c r="H47" i="7"/>
  <c r="D51" i="7"/>
  <c r="D49" i="7"/>
  <c r="D47" i="7"/>
  <c r="G51" i="7"/>
  <c r="G49" i="7"/>
  <c r="G47" i="7"/>
  <c r="P51" i="7"/>
  <c r="P49" i="7"/>
  <c r="C51" i="7"/>
  <c r="C49" i="7"/>
  <c r="C47" i="7"/>
  <c r="H50" i="7"/>
  <c r="H48" i="7"/>
  <c r="G50" i="7"/>
  <c r="G48" i="7"/>
  <c r="L51" i="7"/>
  <c r="L49" i="7"/>
  <c r="O51" i="7"/>
  <c r="O49" i="7"/>
  <c r="D50" i="7"/>
  <c r="D48" i="7"/>
  <c r="C50" i="7"/>
  <c r="C48" i="7"/>
  <c r="M50" i="6"/>
  <c r="M47" i="6"/>
  <c r="M46" i="6"/>
  <c r="M49" i="6"/>
  <c r="M48" i="6"/>
  <c r="P51" i="6"/>
  <c r="H51" i="6"/>
  <c r="H47" i="6"/>
  <c r="Q47" i="6" s="1"/>
  <c r="H50" i="6"/>
  <c r="Q50" i="6" s="1"/>
  <c r="P46" i="6"/>
  <c r="P49" i="6"/>
  <c r="P48" i="6"/>
  <c r="P47" i="6"/>
  <c r="H49" i="6"/>
  <c r="H51" i="5"/>
  <c r="H47" i="5"/>
  <c r="H48" i="5"/>
  <c r="D49" i="5"/>
  <c r="D47" i="5"/>
  <c r="D50" i="5"/>
  <c r="D48" i="5"/>
  <c r="P51" i="5"/>
  <c r="P49" i="5"/>
  <c r="P47" i="5"/>
  <c r="G46" i="5"/>
  <c r="G51" i="5"/>
  <c r="G49" i="5"/>
  <c r="G47" i="5"/>
  <c r="P50" i="5"/>
  <c r="P48" i="5"/>
  <c r="H49" i="5"/>
  <c r="H50" i="5"/>
  <c r="D51" i="5"/>
  <c r="L51" i="5"/>
  <c r="L49" i="5"/>
  <c r="R49" i="5" s="1"/>
  <c r="L47" i="5"/>
  <c r="C46" i="5"/>
  <c r="C51" i="5"/>
  <c r="C49" i="5"/>
  <c r="L50" i="5"/>
  <c r="L48" i="5"/>
  <c r="G50" i="5"/>
  <c r="P51" i="4"/>
  <c r="P49" i="4"/>
  <c r="P47" i="4"/>
  <c r="P50" i="4"/>
  <c r="S50" i="4" s="1"/>
  <c r="Q50" i="4"/>
  <c r="L51" i="4"/>
  <c r="L49" i="4"/>
  <c r="L47" i="4"/>
  <c r="P46" i="4"/>
  <c r="H51" i="4"/>
  <c r="H49" i="4"/>
  <c r="H47" i="4"/>
  <c r="H46" i="4"/>
  <c r="Q48" i="4"/>
  <c r="Q47" i="4"/>
  <c r="Q46" i="4"/>
  <c r="D51" i="4"/>
  <c r="D49" i="4"/>
  <c r="L48" i="4"/>
  <c r="L46" i="4"/>
  <c r="P52" i="3"/>
  <c r="O52" i="3"/>
  <c r="N52" i="3"/>
  <c r="M52" i="3"/>
  <c r="L52" i="3"/>
  <c r="J52" i="3"/>
  <c r="I52" i="3"/>
  <c r="H52" i="3"/>
  <c r="G52" i="3"/>
  <c r="F52" i="3"/>
  <c r="E52" i="3"/>
  <c r="D52" i="3"/>
  <c r="C52" i="3"/>
  <c r="R48" i="4" l="1"/>
  <c r="R47" i="5"/>
  <c r="B9" i="8"/>
  <c r="S47" i="4"/>
  <c r="S46" i="7"/>
  <c r="R49" i="7"/>
  <c r="R48" i="8"/>
  <c r="R50" i="8"/>
  <c r="R50" i="5"/>
  <c r="Q52" i="3"/>
  <c r="R46" i="8"/>
  <c r="Q46" i="8"/>
  <c r="R48" i="6"/>
  <c r="R48" i="5"/>
  <c r="R47" i="4"/>
  <c r="R46" i="6"/>
  <c r="R51" i="7"/>
  <c r="R50" i="6"/>
  <c r="Q49" i="8"/>
  <c r="Q47" i="8"/>
  <c r="R49" i="8"/>
  <c r="R47" i="6"/>
  <c r="R51" i="6"/>
  <c r="R49" i="6"/>
  <c r="S47" i="5"/>
  <c r="R50" i="4"/>
  <c r="R46" i="4"/>
  <c r="S48" i="4"/>
  <c r="R49" i="4"/>
  <c r="S46" i="6"/>
  <c r="S51" i="4"/>
  <c r="Q50" i="8"/>
  <c r="Q51" i="8"/>
  <c r="Q48" i="8"/>
  <c r="S47" i="8"/>
  <c r="S49" i="8"/>
  <c r="S51" i="8"/>
  <c r="S46" i="8"/>
  <c r="S50" i="8"/>
  <c r="S48" i="8"/>
  <c r="S46" i="4"/>
  <c r="S49" i="4"/>
  <c r="Q50" i="5"/>
  <c r="S48" i="5"/>
  <c r="Q47" i="5"/>
  <c r="S50" i="5"/>
  <c r="Q46" i="6"/>
  <c r="S48" i="6"/>
  <c r="S50" i="6"/>
  <c r="S51" i="6"/>
  <c r="S48" i="7"/>
  <c r="Q48" i="7"/>
  <c r="S50" i="7"/>
  <c r="Q50" i="7"/>
  <c r="S49" i="7"/>
  <c r="Q49" i="7"/>
  <c r="S47" i="7"/>
  <c r="Q47" i="7"/>
  <c r="S51" i="7"/>
  <c r="Q51" i="7"/>
  <c r="S49" i="6"/>
  <c r="S47" i="6"/>
  <c r="Q51" i="6"/>
  <c r="Q49" i="6"/>
  <c r="S49" i="5"/>
  <c r="Q49" i="5"/>
  <c r="S51" i="5"/>
  <c r="Q51" i="5"/>
  <c r="S46" i="5"/>
  <c r="Q46" i="5"/>
  <c r="Q49" i="4"/>
  <c r="Q51" i="4"/>
  <c r="N38" i="3"/>
  <c r="M38" i="3"/>
  <c r="N37" i="3"/>
  <c r="M37" i="3"/>
  <c r="N36" i="3"/>
  <c r="M36" i="3"/>
  <c r="N35" i="3"/>
  <c r="M35" i="3"/>
  <c r="N34" i="3"/>
  <c r="M34" i="3"/>
  <c r="J38" i="3"/>
  <c r="I38" i="3"/>
  <c r="H38" i="3"/>
  <c r="G38" i="3"/>
  <c r="F38" i="3"/>
  <c r="E38" i="3"/>
  <c r="D38" i="3"/>
  <c r="C38" i="3"/>
  <c r="J37" i="3"/>
  <c r="I37" i="3"/>
  <c r="H37" i="3"/>
  <c r="G37" i="3"/>
  <c r="F37" i="3"/>
  <c r="E37" i="3"/>
  <c r="D37" i="3"/>
  <c r="C37" i="3"/>
  <c r="J36" i="3"/>
  <c r="I36" i="3"/>
  <c r="H36" i="3"/>
  <c r="G36" i="3"/>
  <c r="F36" i="3"/>
  <c r="E36" i="3"/>
  <c r="D36" i="3"/>
  <c r="C36" i="3"/>
  <c r="J35" i="3"/>
  <c r="I35" i="3"/>
  <c r="H35" i="3"/>
  <c r="G35" i="3"/>
  <c r="F35" i="3"/>
  <c r="E35" i="3"/>
  <c r="D35" i="3"/>
  <c r="C35" i="3"/>
  <c r="J34" i="3"/>
  <c r="I34" i="3"/>
  <c r="H34" i="3"/>
  <c r="G34" i="3"/>
  <c r="F34" i="3"/>
  <c r="E34" i="3"/>
  <c r="D34" i="3"/>
  <c r="C34" i="3"/>
  <c r="C33" i="3"/>
  <c r="D33" i="3"/>
  <c r="E33" i="3"/>
  <c r="F33" i="3"/>
  <c r="G33" i="3"/>
  <c r="H33" i="3"/>
  <c r="I33" i="3"/>
  <c r="J33" i="3"/>
  <c r="N33" i="3"/>
  <c r="M33" i="3"/>
  <c r="L38" i="3"/>
  <c r="K38" i="3"/>
  <c r="L37" i="3"/>
  <c r="K37" i="3"/>
  <c r="L36" i="3"/>
  <c r="K36" i="3"/>
  <c r="L35" i="3"/>
  <c r="K35" i="3"/>
  <c r="L34" i="3"/>
  <c r="K34" i="3"/>
  <c r="L33" i="3"/>
  <c r="K33" i="3"/>
  <c r="M39" i="3" l="1"/>
  <c r="M46" i="3" s="1"/>
  <c r="I39" i="3"/>
  <c r="I48" i="3" s="1"/>
  <c r="E39" i="3"/>
  <c r="E46" i="3" s="1"/>
  <c r="P39" i="3"/>
  <c r="P50" i="3" s="1"/>
  <c r="G39" i="3"/>
  <c r="G49" i="3" s="1"/>
  <c r="C39" i="3"/>
  <c r="C49" i="3" s="1"/>
  <c r="K39" i="3"/>
  <c r="K46" i="3" s="1"/>
  <c r="H39" i="3"/>
  <c r="H48" i="3" s="1"/>
  <c r="D39" i="3"/>
  <c r="D46" i="3" s="1"/>
  <c r="L39" i="3"/>
  <c r="N39" i="3"/>
  <c r="N49" i="3" s="1"/>
  <c r="O39" i="3"/>
  <c r="O48" i="3" s="1"/>
  <c r="J39" i="3"/>
  <c r="J46" i="3" s="1"/>
  <c r="F39" i="3"/>
  <c r="F48" i="3" s="1"/>
  <c r="N31" i="3"/>
  <c r="M31" i="3"/>
  <c r="L31" i="3"/>
  <c r="K31" i="3"/>
  <c r="J31" i="3"/>
  <c r="I31" i="3"/>
  <c r="H31" i="3"/>
  <c r="G31" i="3"/>
  <c r="F31" i="3"/>
  <c r="E31" i="3"/>
  <c r="D31" i="3"/>
  <c r="C31" i="3"/>
  <c r="B14" i="3"/>
  <c r="B11" i="3"/>
  <c r="B9" i="3"/>
  <c r="B7" i="3"/>
  <c r="N19" i="3"/>
  <c r="N44" i="3" s="1"/>
  <c r="M19" i="3"/>
  <c r="M44" i="3" s="1"/>
  <c r="L19" i="3"/>
  <c r="L44" i="3" s="1"/>
  <c r="K19" i="3"/>
  <c r="K44" i="3" s="1"/>
  <c r="J19" i="3"/>
  <c r="J44" i="3" s="1"/>
  <c r="I19" i="3"/>
  <c r="I44" i="3" s="1"/>
  <c r="H19" i="3"/>
  <c r="H44" i="3" s="1"/>
  <c r="G19" i="3"/>
  <c r="G44" i="3" s="1"/>
  <c r="F19" i="3"/>
  <c r="F44" i="3" s="1"/>
  <c r="E19" i="3"/>
  <c r="E44" i="3" s="1"/>
  <c r="D19" i="3"/>
  <c r="D44" i="3" s="1"/>
  <c r="C19" i="3"/>
  <c r="C44" i="3" s="1"/>
  <c r="C48" i="3" l="1"/>
  <c r="I49" i="3"/>
  <c r="C46" i="3"/>
  <c r="F49" i="3"/>
  <c r="D48" i="3"/>
  <c r="I51" i="3"/>
  <c r="I46" i="3"/>
  <c r="J48" i="3"/>
  <c r="F51" i="3"/>
  <c r="F47" i="3"/>
  <c r="C51" i="3"/>
  <c r="I47" i="3"/>
  <c r="F46" i="3"/>
  <c r="J50" i="3"/>
  <c r="D49" i="3"/>
  <c r="Q49" i="3" s="1"/>
  <c r="D47" i="3"/>
  <c r="M49" i="3"/>
  <c r="M47" i="3"/>
  <c r="M50" i="3"/>
  <c r="M51" i="3"/>
  <c r="M48" i="3"/>
  <c r="N48" i="3"/>
  <c r="P49" i="3"/>
  <c r="P48" i="3"/>
  <c r="P47" i="3"/>
  <c r="P51" i="3"/>
  <c r="P46" i="3"/>
  <c r="G48" i="3"/>
  <c r="O47" i="3"/>
  <c r="E48" i="3"/>
  <c r="H51" i="3"/>
  <c r="N47" i="3"/>
  <c r="N46" i="3"/>
  <c r="H50" i="3"/>
  <c r="F50" i="3"/>
  <c r="D51" i="3"/>
  <c r="H47" i="3"/>
  <c r="G50" i="3"/>
  <c r="C47" i="3"/>
  <c r="O49" i="3"/>
  <c r="E51" i="3"/>
  <c r="E49" i="3"/>
  <c r="E47" i="3"/>
  <c r="N51" i="3"/>
  <c r="H49" i="3"/>
  <c r="C50" i="3"/>
  <c r="O51" i="3"/>
  <c r="E50" i="3"/>
  <c r="H46" i="3"/>
  <c r="G47" i="3"/>
  <c r="O50" i="3"/>
  <c r="O46" i="3"/>
  <c r="G51" i="3"/>
  <c r="J51" i="3"/>
  <c r="J49" i="3"/>
  <c r="J47" i="3"/>
  <c r="G46" i="3"/>
  <c r="N50" i="3"/>
  <c r="D50" i="3"/>
  <c r="I50" i="3"/>
  <c r="L49" i="3"/>
  <c r="L46" i="3"/>
  <c r="L48" i="3"/>
  <c r="L47" i="3"/>
  <c r="L50" i="3"/>
  <c r="L51" i="3"/>
  <c r="K51" i="3"/>
  <c r="K47" i="3"/>
  <c r="K48" i="3"/>
  <c r="K50" i="3"/>
  <c r="K49" i="3"/>
  <c r="R51" i="3" l="1"/>
  <c r="Q46" i="3"/>
  <c r="R46" i="3"/>
  <c r="R49" i="3"/>
  <c r="Q51" i="3"/>
  <c r="R50" i="3"/>
  <c r="R48" i="3"/>
  <c r="R47" i="3"/>
  <c r="Q50" i="3"/>
  <c r="Q48" i="3"/>
  <c r="Q47" i="3"/>
  <c r="S47" i="3"/>
  <c r="S49" i="3"/>
  <c r="S50" i="3"/>
  <c r="S48" i="3"/>
  <c r="S46" i="3"/>
  <c r="S5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3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4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4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4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4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4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4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4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ADianin</author>
  </authors>
  <commentList>
    <comment ref="C19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D19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E19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Median</t>
        </r>
      </text>
    </comment>
    <comment ref="F19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Mean of the medians of the six subgroups</t>
        </r>
      </text>
    </comment>
    <comment ref="G19" authorId="0" shapeId="0" xr:uid="{00000000-0006-0000-0500-000005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H19" authorId="0" shapeId="0" xr:uid="{00000000-0006-0000-0500-000006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I19" authorId="0" shapeId="0" xr:uid="{00000000-0006-0000-0500-000007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  <comment ref="J19" authorId="0" shapeId="0" xr:uid="{00000000-0006-0000-0500-000008000000}">
      <text>
        <r>
          <rPr>
            <b/>
            <sz val="9"/>
            <color indexed="81"/>
            <rFont val="Tahoma"/>
            <family val="2"/>
          </rPr>
          <t>ADianin:</t>
        </r>
        <r>
          <rPr>
            <sz val="9"/>
            <color indexed="81"/>
            <rFont val="Tahoma"/>
            <family val="2"/>
          </rPr>
          <t xml:space="preserve">
Total CSTA value (broken down in space and time)</t>
        </r>
      </text>
    </comment>
  </commentList>
</comments>
</file>

<file path=xl/sharedStrings.xml><?xml version="1.0" encoding="utf-8"?>
<sst xmlns="http://schemas.openxmlformats.org/spreadsheetml/2006/main" count="822" uniqueCount="66">
  <si>
    <t>Study area:</t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</si>
  <si>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1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</si>
  <si>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2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</si>
  <si>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3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</si>
  <si>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4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</si>
  <si>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5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</si>
  <si>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6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</si>
  <si>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7</t>
    </r>
  </si>
  <si>
    <r>
      <t>MC</t>
    </r>
    <r>
      <rPr>
        <b/>
        <i/>
        <vertAlign val="subscript"/>
        <sz val="9"/>
        <color theme="1"/>
        <rFont val="Calibri"/>
        <family val="2"/>
        <scheme val="minor"/>
      </rPr>
      <t>8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</si>
  <si>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1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</si>
  <si>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2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</si>
  <si>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3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</si>
  <si>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4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</si>
  <si>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5</t>
    </r>
  </si>
  <si>
    <r>
      <t>LC</t>
    </r>
    <r>
      <rPr>
        <b/>
        <i/>
        <vertAlign val="subscript"/>
        <sz val="9"/>
        <color theme="1"/>
        <rFont val="Calibri"/>
        <family val="2"/>
        <scheme val="minor"/>
      </rPr>
      <t>6</t>
    </r>
  </si>
  <si>
    <t>To disc. opport.</t>
  </si>
  <si>
    <t>To fixed activ.</t>
  </si>
  <si>
    <t>Inside study area</t>
  </si>
  <si>
    <t>Outside study area</t>
  </si>
  <si>
    <t>Individual (person-based) accessibility</t>
  </si>
  <si>
    <t>Collective (place-based) accessibility</t>
  </si>
  <si>
    <t>Manifest critieria (space-time accessibility)</t>
  </si>
  <si>
    <t>Latent criteria (other accessibility components)</t>
  </si>
  <si>
    <t>STEP 1</t>
  </si>
  <si>
    <t>STEP 4</t>
  </si>
  <si>
    <t>STEP 2</t>
  </si>
  <si>
    <t>STEP 3</t>
  </si>
  <si>
    <t>For whole sample</t>
  </si>
  <si>
    <t>In peak hours</t>
  </si>
  <si>
    <t>In off-peak hours</t>
  </si>
  <si>
    <t>Monetary cost of travel</t>
  </si>
  <si>
    <t>Risk unpunct./disservice</t>
  </si>
  <si>
    <t>Percept. on-board safety</t>
  </si>
  <si>
    <t>Understandability for users</t>
  </si>
  <si>
    <t>For sensitive subgroups</t>
  </si>
  <si>
    <r>
      <t xml:space="preserve">Notes: </t>
    </r>
    <r>
      <rPr>
        <b/>
        <sz val="9"/>
        <color theme="4"/>
        <rFont val="Calibri"/>
        <family val="2"/>
        <scheme val="minor"/>
      </rPr>
      <t>Beneficial criteria</t>
    </r>
    <r>
      <rPr>
        <sz val="9"/>
        <color theme="4"/>
        <rFont val="Calibri"/>
        <family val="2"/>
        <scheme val="minor"/>
      </rPr>
      <t xml:space="preserve"> (high values are desirable)</t>
    </r>
    <r>
      <rPr>
        <b/>
        <sz val="9"/>
        <color theme="1"/>
        <rFont val="Calibri"/>
        <family val="2"/>
        <scheme val="minor"/>
      </rPr>
      <t xml:space="preserve"> / </t>
    </r>
    <r>
      <rPr>
        <b/>
        <sz val="9"/>
        <color theme="5"/>
        <rFont val="Calibri"/>
        <family val="2"/>
        <scheme val="minor"/>
      </rPr>
      <t xml:space="preserve">Non-beneficial criteria </t>
    </r>
    <r>
      <rPr>
        <sz val="9"/>
        <color theme="5"/>
        <rFont val="Calibri"/>
        <family val="2"/>
        <scheme val="minor"/>
      </rPr>
      <t>(low values are desirable)</t>
    </r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</si>
  <si>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1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(Fixe-based)</t>
    </r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</si>
  <si>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2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(Demand-based)</t>
    </r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</si>
  <si>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4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(Mixed in space)</t>
    </r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</si>
  <si>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3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(Mixed in time)</t>
    </r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</si>
  <si>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5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(Mixed in space &amp; time)</t>
    </r>
  </si>
  <si>
    <t>DECISION MATRIX</t>
  </si>
  <si>
    <t>1. Weighting of criteria</t>
  </si>
  <si>
    <t>2. Scoring of alternatives</t>
  </si>
  <si>
    <t>Manifest critieria (own units of measures)</t>
  </si>
  <si>
    <t>Latent criteria (1-5 ordinal scale from low to high)</t>
  </si>
  <si>
    <r>
      <t>A</t>
    </r>
    <r>
      <rPr>
        <b/>
        <i/>
        <vertAlign val="subscript"/>
        <sz val="9"/>
        <color theme="1"/>
        <rFont val="Calibri"/>
        <family val="2"/>
        <scheme val="minor"/>
      </rPr>
      <t>0</t>
    </r>
    <r>
      <rPr>
        <b/>
        <i/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(Business as usual)</t>
    </r>
  </si>
  <si>
    <t>3. Normalisation of scoring</t>
  </si>
  <si>
    <t>4. Ranking of alternatives</t>
  </si>
  <si>
    <t>NORMALISED 
DECISION MATRIX</t>
  </si>
  <si>
    <t>Final performance values</t>
  </si>
  <si>
    <t>Weighting factors:</t>
  </si>
  <si>
    <t>Normalisation factors:</t>
  </si>
  <si>
    <t>Risk more traffic/congestion</t>
  </si>
  <si>
    <t>Depend on digital booking</t>
  </si>
  <si>
    <t>Ranking MC</t>
  </si>
  <si>
    <t>Ranking MC+LC</t>
  </si>
  <si>
    <t>Mühlwald</t>
  </si>
  <si>
    <t>Reference (same weight for all the criteria)</t>
  </si>
  <si>
    <t>Ranking LC</t>
  </si>
  <si>
    <t>Stakeholder 1 (Stk1)</t>
  </si>
  <si>
    <t>Stakeholder 2 (Stk2)</t>
  </si>
  <si>
    <t>Stakeholder:</t>
  </si>
  <si>
    <t>Stakeholder 3 (Stk3)</t>
  </si>
  <si>
    <t>Stakeholder 4 (Stk4)</t>
  </si>
  <si>
    <t>Stakeholder 5 (Stk5)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</si>
</sst>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i/>
      <vertAlign val="subscript"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9"/>
      <color theme="4"/>
      <name val="Calibri"/>
      <family val="2"/>
      <scheme val="minor"/>
    </font>
    <font>
      <b/>
      <sz val="9"/>
      <color theme="5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color theme="4"/>
      <name val="Calibri"/>
      <family val="2"/>
      <scheme val="minor"/>
    </font>
    <font>
      <sz val="9"/>
      <color theme="5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  <fill>
      <gradientFill>
        <stop position="0">
          <color theme="5" tint="0.40000610370189521"/>
        </stop>
        <stop position="1">
          <color theme="4" tint="0.40000610370189521"/>
        </stop>
      </gradientFill>
    </fill>
  </fills>
  <borders count="4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46">
    <xf numFmtId="0" fontId="0" fillId="0" borderId="0" xfId="0"/>
    <xf numFmtId="0" fontId="6" fillId="0" borderId="0" xfId="0" applyFont="1"/>
    <xf numFmtId="16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5" borderId="32" xfId="0" applyFont="1" applyFill="1" applyBorder="1" applyAlignment="1">
      <alignment horizontal="center" vertical="center" wrapText="1"/>
    </xf>
    <xf numFmtId="0" fontId="3" fillId="5" borderId="31" xfId="0" applyFont="1" applyFill="1" applyBorder="1" applyAlignment="1">
      <alignment horizontal="center" vertical="center" wrapText="1"/>
    </xf>
    <xf numFmtId="0" fontId="3" fillId="5" borderId="34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 wrapText="1"/>
    </xf>
    <xf numFmtId="9" fontId="2" fillId="0" borderId="11" xfId="1" applyFont="1" applyFill="1" applyBorder="1" applyAlignment="1">
      <alignment horizontal="center" vertical="center" wrapText="1"/>
    </xf>
    <xf numFmtId="9" fontId="9" fillId="0" borderId="30" xfId="1" applyFont="1" applyFill="1" applyBorder="1" applyAlignment="1">
      <alignment horizontal="center" vertical="center" wrapText="1"/>
    </xf>
    <xf numFmtId="9" fontId="9" fillId="0" borderId="35" xfId="1" applyFont="1" applyFill="1" applyBorder="1" applyAlignment="1">
      <alignment horizontal="center" vertical="center" wrapText="1"/>
    </xf>
    <xf numFmtId="9" fontId="2" fillId="0" borderId="35" xfId="0" applyNumberFormat="1" applyFont="1" applyBorder="1" applyAlignment="1">
      <alignment horizontal="center" vertical="center" wrapText="1"/>
    </xf>
    <xf numFmtId="9" fontId="2" fillId="0" borderId="30" xfId="0" applyNumberFormat="1" applyFont="1" applyBorder="1" applyAlignment="1">
      <alignment horizontal="center" vertical="center" wrapText="1"/>
    </xf>
    <xf numFmtId="9" fontId="2" fillId="0" borderId="35" xfId="0" applyNumberFormat="1" applyFont="1" applyBorder="1" applyAlignment="1">
      <alignment horizontal="center" vertical="center"/>
    </xf>
    <xf numFmtId="0" fontId="0" fillId="2" borderId="0" xfId="0" applyFill="1"/>
    <xf numFmtId="0" fontId="11" fillId="3" borderId="28" xfId="0" applyFont="1" applyFill="1" applyBorder="1" applyAlignment="1">
      <alignment vertical="center" wrapText="1"/>
    </xf>
    <xf numFmtId="9" fontId="2" fillId="3" borderId="27" xfId="1" applyFont="1" applyFill="1" applyBorder="1" applyAlignment="1">
      <alignment horizontal="right" vertical="center" wrapText="1"/>
    </xf>
    <xf numFmtId="0" fontId="1" fillId="3" borderId="26" xfId="0" applyFont="1" applyFill="1" applyBorder="1" applyAlignment="1">
      <alignment vertical="top" wrapText="1"/>
    </xf>
    <xf numFmtId="0" fontId="1" fillId="3" borderId="26" xfId="0" applyFont="1" applyFill="1" applyBorder="1" applyAlignment="1">
      <alignment horizontal="left" vertical="center" wrapText="1"/>
    </xf>
    <xf numFmtId="0" fontId="16" fillId="2" borderId="18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0" fontId="3" fillId="3" borderId="25" xfId="0" applyFont="1" applyFill="1" applyBorder="1" applyAlignment="1">
      <alignment horizontal="left" vertical="center" wrapText="1"/>
    </xf>
    <xf numFmtId="2" fontId="2" fillId="2" borderId="37" xfId="0" applyNumberFormat="1" applyFont="1" applyFill="1" applyBorder="1" applyAlignment="1">
      <alignment horizontal="center" vertical="center" wrapText="1"/>
    </xf>
    <xf numFmtId="2" fontId="2" fillId="2" borderId="37" xfId="0" applyNumberFormat="1" applyFont="1" applyFill="1" applyBorder="1" applyAlignment="1">
      <alignment horizontal="center" vertical="center"/>
    </xf>
    <xf numFmtId="1" fontId="2" fillId="2" borderId="37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 wrapText="1"/>
    </xf>
    <xf numFmtId="2" fontId="2" fillId="2" borderId="38" xfId="0" applyNumberFormat="1" applyFont="1" applyFill="1" applyBorder="1" applyAlignment="1">
      <alignment horizontal="center" vertical="center" wrapText="1"/>
    </xf>
    <xf numFmtId="2" fontId="2" fillId="2" borderId="38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Alignment="1">
      <alignment horizontal="center" vertical="center" wrapText="1"/>
    </xf>
    <xf numFmtId="2" fontId="2" fillId="2" borderId="40" xfId="0" applyNumberFormat="1" applyFont="1" applyFill="1" applyBorder="1" applyAlignment="1">
      <alignment horizontal="center" vertical="center" wrapText="1"/>
    </xf>
    <xf numFmtId="2" fontId="2" fillId="2" borderId="40" xfId="0" applyNumberFormat="1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0" fontId="3" fillId="5" borderId="35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1" fontId="2" fillId="2" borderId="33" xfId="0" applyNumberFormat="1" applyFont="1" applyFill="1" applyBorder="1" applyAlignment="1">
      <alignment horizontal="center" vertical="center"/>
    </xf>
    <xf numFmtId="2" fontId="2" fillId="2" borderId="33" xfId="0" applyNumberFormat="1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2" fontId="2" fillId="2" borderId="35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35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right" vertical="center" wrapText="1"/>
    </xf>
    <xf numFmtId="2" fontId="2" fillId="2" borderId="39" xfId="0" applyNumberFormat="1" applyFont="1" applyFill="1" applyBorder="1" applyAlignment="1">
      <alignment horizontal="center" vertical="center"/>
    </xf>
    <xf numFmtId="2" fontId="2" fillId="2" borderId="23" xfId="0" applyNumberFormat="1" applyFont="1" applyFill="1" applyBorder="1" applyAlignment="1">
      <alignment horizontal="center" vertical="center"/>
    </xf>
    <xf numFmtId="2" fontId="2" fillId="2" borderId="17" xfId="0" applyNumberFormat="1" applyFont="1" applyFill="1" applyBorder="1" applyAlignment="1">
      <alignment horizontal="center" vertical="center"/>
    </xf>
    <xf numFmtId="2" fontId="2" fillId="2" borderId="22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3" fillId="2" borderId="4" xfId="0" applyFont="1" applyFill="1" applyBorder="1" applyAlignment="1">
      <alignment horizontal="right" vertical="center" wrapText="1"/>
    </xf>
    <xf numFmtId="0" fontId="12" fillId="5" borderId="10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0" fontId="12" fillId="5" borderId="33" xfId="0" applyFont="1" applyFill="1" applyBorder="1" applyAlignment="1">
      <alignment horizontal="center" vertical="top" wrapText="1"/>
    </xf>
    <xf numFmtId="0" fontId="12" fillId="5" borderId="21" xfId="0" applyFont="1" applyFill="1" applyBorder="1" applyAlignment="1">
      <alignment horizontal="center" vertical="top" wrapText="1"/>
    </xf>
    <xf numFmtId="0" fontId="12" fillId="4" borderId="33" xfId="0" applyFont="1" applyFill="1" applyBorder="1" applyAlignment="1">
      <alignment horizontal="center" vertical="top" wrapText="1"/>
    </xf>
    <xf numFmtId="0" fontId="12" fillId="5" borderId="20" xfId="0" applyFont="1" applyFill="1" applyBorder="1" applyAlignment="1">
      <alignment horizontal="center" vertical="top" wrapText="1"/>
    </xf>
    <xf numFmtId="0" fontId="12" fillId="5" borderId="36" xfId="0" applyFont="1" applyFill="1" applyBorder="1" applyAlignment="1">
      <alignment horizontal="center" vertical="top" wrapText="1"/>
    </xf>
    <xf numFmtId="0" fontId="12" fillId="4" borderId="36" xfId="0" applyFont="1" applyFill="1" applyBorder="1" applyAlignment="1">
      <alignment horizontal="center" vertical="top" wrapText="1"/>
    </xf>
    <xf numFmtId="0" fontId="12" fillId="4" borderId="43" xfId="0" applyFont="1" applyFill="1" applyBorder="1" applyAlignment="1">
      <alignment horizontal="center" vertical="top" wrapText="1"/>
    </xf>
    <xf numFmtId="0" fontId="3" fillId="4" borderId="44" xfId="0" applyFont="1" applyFill="1" applyBorder="1" applyAlignment="1">
      <alignment horizontal="center" vertical="center" wrapText="1"/>
    </xf>
    <xf numFmtId="9" fontId="2" fillId="0" borderId="42" xfId="0" applyNumberFormat="1" applyFont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top" wrapText="1"/>
    </xf>
    <xf numFmtId="2" fontId="1" fillId="4" borderId="3" xfId="0" applyNumberFormat="1" applyFont="1" applyFill="1" applyBorder="1" applyAlignment="1">
      <alignment horizontal="center" vertical="center" wrapText="1"/>
    </xf>
    <xf numFmtId="2" fontId="1" fillId="4" borderId="7" xfId="0" applyNumberFormat="1" applyFont="1" applyFill="1" applyBorder="1" applyAlignment="1">
      <alignment horizontal="center" vertical="center" wrapText="1"/>
    </xf>
    <xf numFmtId="0" fontId="3" fillId="4" borderId="42" xfId="0" applyFont="1" applyFill="1" applyBorder="1" applyAlignment="1">
      <alignment horizontal="center" vertical="center" wrapText="1"/>
    </xf>
    <xf numFmtId="2" fontId="1" fillId="5" borderId="6" xfId="0" applyNumberFormat="1" applyFont="1" applyFill="1" applyBorder="1" applyAlignment="1">
      <alignment horizontal="center" vertical="center" wrapText="1"/>
    </xf>
    <xf numFmtId="2" fontId="1" fillId="5" borderId="3" xfId="0" applyNumberFormat="1" applyFont="1" applyFill="1" applyBorder="1" applyAlignment="1">
      <alignment horizontal="center" vertical="center" wrapText="1"/>
    </xf>
    <xf numFmtId="1" fontId="2" fillId="7" borderId="38" xfId="0" applyNumberFormat="1" applyFont="1" applyFill="1" applyBorder="1" applyAlignment="1">
      <alignment horizontal="center" vertical="center"/>
    </xf>
    <xf numFmtId="1" fontId="2" fillId="7" borderId="39" xfId="0" applyNumberFormat="1" applyFont="1" applyFill="1" applyBorder="1" applyAlignment="1">
      <alignment horizontal="center" vertical="center"/>
    </xf>
    <xf numFmtId="1" fontId="2" fillId="7" borderId="37" xfId="0" applyNumberFormat="1" applyFont="1" applyFill="1" applyBorder="1" applyAlignment="1">
      <alignment horizontal="center" vertical="center"/>
    </xf>
    <xf numFmtId="1" fontId="2" fillId="7" borderId="23" xfId="0" applyNumberFormat="1" applyFont="1" applyFill="1" applyBorder="1" applyAlignment="1">
      <alignment horizontal="center" vertical="center"/>
    </xf>
    <xf numFmtId="1" fontId="2" fillId="7" borderId="40" xfId="0" applyNumberFormat="1" applyFont="1" applyFill="1" applyBorder="1" applyAlignment="1">
      <alignment horizontal="center" vertical="center"/>
    </xf>
    <xf numFmtId="1" fontId="2" fillId="7" borderId="22" xfId="0" applyNumberFormat="1" applyFont="1" applyFill="1" applyBorder="1" applyAlignment="1">
      <alignment horizontal="center" vertical="center"/>
    </xf>
    <xf numFmtId="9" fontId="2" fillId="0" borderId="0" xfId="1" applyFont="1" applyFill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2" fontId="1" fillId="0" borderId="0" xfId="0" applyNumberFormat="1" applyFont="1" applyAlignment="1">
      <alignment horizontal="center" vertical="center" wrapText="1"/>
    </xf>
    <xf numFmtId="164" fontId="1" fillId="2" borderId="10" xfId="0" applyNumberFormat="1" applyFont="1" applyFill="1" applyBorder="1" applyAlignment="1">
      <alignment horizontal="center" vertical="center"/>
    </xf>
    <xf numFmtId="164" fontId="1" fillId="2" borderId="32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9" fontId="1" fillId="5" borderId="12" xfId="1" applyFont="1" applyFill="1" applyBorder="1" applyAlignment="1">
      <alignment horizontal="center" vertical="center" wrapText="1"/>
    </xf>
    <xf numFmtId="9" fontId="1" fillId="5" borderId="2" xfId="1" applyFont="1" applyFill="1" applyBorder="1" applyAlignment="1">
      <alignment horizontal="center" vertical="center" wrapText="1"/>
    </xf>
    <xf numFmtId="9" fontId="1" fillId="4" borderId="2" xfId="1" applyFont="1" applyFill="1" applyBorder="1" applyAlignment="1">
      <alignment horizontal="center" vertical="center" wrapText="1"/>
    </xf>
    <xf numFmtId="9" fontId="1" fillId="4" borderId="5" xfId="1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45" xfId="0" applyFont="1" applyFill="1" applyBorder="1" applyAlignment="1">
      <alignment horizontal="center" vertical="center" wrapText="1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29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3" borderId="46" xfId="0" applyFont="1" applyFill="1" applyBorder="1" applyAlignment="1">
      <alignment horizontal="center" vertical="center" wrapText="1"/>
    </xf>
    <xf numFmtId="164" fontId="1" fillId="2" borderId="33" xfId="0" applyNumberFormat="1" applyFont="1" applyFill="1" applyBorder="1" applyAlignment="1">
      <alignment horizontal="center" vertical="center"/>
    </xf>
    <xf numFmtId="164" fontId="1" fillId="2" borderId="34" xfId="0" applyNumberFormat="1" applyFont="1" applyFill="1" applyBorder="1" applyAlignment="1">
      <alignment horizontal="center" vertical="center"/>
    </xf>
    <xf numFmtId="164" fontId="1" fillId="2" borderId="35" xfId="0" applyNumberFormat="1" applyFont="1" applyFill="1" applyBorder="1" applyAlignment="1">
      <alignment horizontal="center" vertical="center"/>
    </xf>
    <xf numFmtId="9" fontId="2" fillId="0" borderId="6" xfId="1" applyFont="1" applyFill="1" applyBorder="1" applyAlignment="1">
      <alignment horizontal="center" vertical="center" wrapText="1"/>
    </xf>
    <xf numFmtId="9" fontId="2" fillId="0" borderId="3" xfId="1" applyFont="1" applyFill="1" applyBorder="1" applyAlignment="1">
      <alignment horizontal="center" vertical="center" wrapText="1"/>
    </xf>
    <xf numFmtId="9" fontId="2" fillId="0" borderId="30" xfId="1" applyFont="1" applyFill="1" applyBorder="1" applyAlignment="1">
      <alignment horizontal="center" vertical="center" wrapText="1"/>
    </xf>
    <xf numFmtId="9" fontId="2" fillId="0" borderId="7" xfId="1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16" fillId="2" borderId="5" xfId="0" applyFont="1" applyFill="1" applyBorder="1" applyAlignment="1">
      <alignment horizontal="left" vertical="center"/>
    </xf>
    <xf numFmtId="0" fontId="15" fillId="6" borderId="1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5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left" vertical="top" wrapText="1"/>
    </xf>
    <xf numFmtId="0" fontId="1" fillId="3" borderId="28" xfId="0" applyFont="1" applyFill="1" applyBorder="1" applyAlignment="1">
      <alignment horizontal="left" vertical="top" wrapText="1"/>
    </xf>
    <xf numFmtId="0" fontId="1" fillId="3" borderId="27" xfId="0" applyFont="1" applyFill="1" applyBorder="1" applyAlignment="1">
      <alignment horizontal="left" vertical="top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 wrapText="1"/>
    </xf>
    <xf numFmtId="9" fontId="1" fillId="0" borderId="12" xfId="1" applyFont="1" applyFill="1" applyBorder="1" applyAlignment="1">
      <alignment horizontal="center" vertical="center" wrapText="1"/>
    </xf>
    <xf numFmtId="9" fontId="1" fillId="0" borderId="2" xfId="1" applyFont="1" applyFill="1" applyBorder="1" applyAlignment="1">
      <alignment horizontal="center" vertical="center" wrapText="1"/>
    </xf>
    <xf numFmtId="9" fontId="1" fillId="0" borderId="5" xfId="1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9" fontId="2" fillId="0" borderId="9" xfId="1" applyFont="1" applyFill="1" applyBorder="1" applyAlignment="1">
      <alignment horizontal="center" vertical="center" wrapText="1"/>
    </xf>
    <xf numFmtId="0" fontId="1" fillId="3" borderId="32" xfId="0" applyFont="1" applyFill="1" applyBorder="1" applyAlignment="1">
      <alignment horizontal="center" vertical="center" wrapText="1"/>
    </xf>
    <xf numFmtId="0" fontId="1" fillId="3" borderId="34" xfId="0" applyFont="1" applyFill="1" applyBorder="1" applyAlignment="1">
      <alignment horizontal="center" vertical="center" wrapText="1"/>
    </xf>
    <xf numFmtId="0" fontId="1" fillId="3" borderId="29" xfId="0" applyFont="1" applyFill="1" applyBorder="1" applyAlignment="1">
      <alignment horizontal="center" vertical="center" wrapText="1"/>
    </xf>
    <xf numFmtId="9" fontId="1" fillId="0" borderId="6" xfId="1" applyFont="1" applyFill="1" applyBorder="1" applyAlignment="1">
      <alignment horizontal="center" vertical="center" wrapText="1"/>
    </xf>
    <xf numFmtId="9" fontId="1" fillId="0" borderId="3" xfId="1" applyFont="1" applyFill="1" applyBorder="1" applyAlignment="1">
      <alignment horizontal="center" vertical="center" wrapText="1"/>
    </xf>
    <xf numFmtId="9" fontId="1" fillId="0" borderId="7" xfId="1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</sheetPr>
  <dimension ref="B1:T55"/>
  <sheetViews>
    <sheetView tabSelected="1"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58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0.99999999999999989</v>
      </c>
      <c r="C7" s="102">
        <f>SUM(C9:J9)</f>
        <v>0.5714285714285714</v>
      </c>
      <c r="D7" s="103"/>
      <c r="E7" s="103"/>
      <c r="F7" s="103"/>
      <c r="G7" s="103"/>
      <c r="H7" s="103"/>
      <c r="I7" s="103"/>
      <c r="J7" s="104"/>
      <c r="K7" s="103">
        <f>SUM(K14:P14)</f>
        <v>0.42857142857142849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0.99999999999999989</v>
      </c>
      <c r="C9" s="102">
        <f>SUM(C11:F11)</f>
        <v>0.2857142857142857</v>
      </c>
      <c r="D9" s="103"/>
      <c r="E9" s="103"/>
      <c r="F9" s="104"/>
      <c r="G9" s="103">
        <f>SUM(G11:J11)</f>
        <v>0.2857142857142857</v>
      </c>
      <c r="H9" s="103"/>
      <c r="I9" s="103"/>
      <c r="J9" s="104"/>
      <c r="K9" s="103">
        <f>SUM(K14:P14)</f>
        <v>0.42857142857142849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0.99999999999999989</v>
      </c>
      <c r="C11" s="102">
        <f>SUM(C14:D14)</f>
        <v>0.14285714285714285</v>
      </c>
      <c r="D11" s="104"/>
      <c r="E11" s="103">
        <f>SUM(E14:F14)</f>
        <v>0.14285714285714285</v>
      </c>
      <c r="F11" s="104"/>
      <c r="G11" s="103">
        <f>SUM(G14:H14)</f>
        <v>0.14285714285714285</v>
      </c>
      <c r="H11" s="104"/>
      <c r="I11" s="103">
        <f>SUM(I14:J14)</f>
        <v>0.14285714285714285</v>
      </c>
      <c r="J11" s="104"/>
      <c r="K11" s="103">
        <f>SUM(K14:P14)</f>
        <v>0.42857142857142849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0.99999999999999967</v>
      </c>
      <c r="C14" s="9">
        <f t="shared" ref="C14:P14" si="0">1/14</f>
        <v>7.1428571428571425E-2</v>
      </c>
      <c r="D14" s="10">
        <f t="shared" si="0"/>
        <v>7.1428571428571425E-2</v>
      </c>
      <c r="E14" s="10">
        <f t="shared" si="0"/>
        <v>7.1428571428571425E-2</v>
      </c>
      <c r="F14" s="10">
        <f t="shared" si="0"/>
        <v>7.1428571428571425E-2</v>
      </c>
      <c r="G14" s="10">
        <f t="shared" si="0"/>
        <v>7.1428571428571425E-2</v>
      </c>
      <c r="H14" s="10">
        <f t="shared" si="0"/>
        <v>7.1428571428571425E-2</v>
      </c>
      <c r="I14" s="10">
        <f t="shared" si="0"/>
        <v>7.1428571428571425E-2</v>
      </c>
      <c r="J14" s="10">
        <f t="shared" si="0"/>
        <v>7.1428571428571425E-2</v>
      </c>
      <c r="K14" s="10">
        <f t="shared" si="0"/>
        <v>7.1428571428571425E-2</v>
      </c>
      <c r="L14" s="10">
        <f t="shared" si="0"/>
        <v>7.1428571428571425E-2</v>
      </c>
      <c r="M14" s="10">
        <f t="shared" si="0"/>
        <v>7.1428571428571425E-2</v>
      </c>
      <c r="N14" s="10">
        <f t="shared" si="0"/>
        <v>7.1428571428571425E-2</v>
      </c>
      <c r="O14" s="10">
        <f t="shared" si="0"/>
        <v>7.1428571428571425E-2</v>
      </c>
      <c r="P14" s="62">
        <f t="shared" si="0"/>
        <v>7.1428571428571425E-2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1">C12</f>
        <v>For whole sample</v>
      </c>
      <c r="D19" s="58" t="str">
        <f t="shared" si="1"/>
        <v>For sensitive subgroups</v>
      </c>
      <c r="E19" s="58" t="str">
        <f t="shared" si="1"/>
        <v>For whole sample</v>
      </c>
      <c r="F19" s="58" t="str">
        <f t="shared" si="1"/>
        <v>For sensitive subgroups</v>
      </c>
      <c r="G19" s="58" t="str">
        <f t="shared" si="1"/>
        <v>In peak hours</v>
      </c>
      <c r="H19" s="58" t="str">
        <f t="shared" si="1"/>
        <v>In off-peak hours</v>
      </c>
      <c r="I19" s="58" t="str">
        <f t="shared" si="1"/>
        <v>In peak hours</v>
      </c>
      <c r="J19" s="58" t="str">
        <f t="shared" si="1"/>
        <v>In off-peak hours</v>
      </c>
      <c r="K19" s="59" t="str">
        <f t="shared" si="1"/>
        <v>Monetary cost of travel</v>
      </c>
      <c r="L19" s="59" t="str">
        <f t="shared" si="1"/>
        <v>Risk unpunct./disservice</v>
      </c>
      <c r="M19" s="58" t="str">
        <f t="shared" si="1"/>
        <v>Percept. on-board safety</v>
      </c>
      <c r="N19" s="58" t="str">
        <f t="shared" si="1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2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3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2">C12</f>
        <v>For whole sample</v>
      </c>
      <c r="D31" s="58" t="str">
        <f t="shared" si="2"/>
        <v>For sensitive subgroups</v>
      </c>
      <c r="E31" s="58" t="str">
        <f t="shared" si="2"/>
        <v>For whole sample</v>
      </c>
      <c r="F31" s="58" t="str">
        <f t="shared" si="2"/>
        <v>For sensitive subgroups</v>
      </c>
      <c r="G31" s="58" t="str">
        <f t="shared" si="2"/>
        <v>In peak hours</v>
      </c>
      <c r="H31" s="58" t="str">
        <f t="shared" si="2"/>
        <v>In off-peak hours</v>
      </c>
      <c r="I31" s="58" t="str">
        <f t="shared" si="2"/>
        <v>In peak hours</v>
      </c>
      <c r="J31" s="58" t="str">
        <f t="shared" si="2"/>
        <v>In off-peak hours</v>
      </c>
      <c r="K31" s="59" t="str">
        <f t="shared" si="2"/>
        <v>Monetary cost of travel</v>
      </c>
      <c r="L31" s="59" t="str">
        <f t="shared" si="2"/>
        <v>Risk unpunct./disservice</v>
      </c>
      <c r="M31" s="58" t="str">
        <f t="shared" si="2"/>
        <v>Percept. on-board safety</v>
      </c>
      <c r="N31" s="58" t="str">
        <f t="shared" si="2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3">C21</f>
        <v>0.5</v>
      </c>
      <c r="D33" s="37">
        <f t="shared" si="3"/>
        <v>0.47166666666666668</v>
      </c>
      <c r="E33" s="37">
        <f t="shared" si="3"/>
        <v>0.94</v>
      </c>
      <c r="F33" s="37">
        <f t="shared" si="3"/>
        <v>1.0900000000000001</v>
      </c>
      <c r="G33" s="37">
        <f t="shared" si="3"/>
        <v>14</v>
      </c>
      <c r="H33" s="37">
        <f t="shared" si="3"/>
        <v>23.91</v>
      </c>
      <c r="I33" s="37">
        <f t="shared" si="3"/>
        <v>26.41</v>
      </c>
      <c r="J33" s="37">
        <f t="shared" si="3"/>
        <v>26.41</v>
      </c>
      <c r="K33" s="37">
        <f t="shared" ref="K33:L38" si="4">1/K21</f>
        <v>1</v>
      </c>
      <c r="L33" s="37">
        <f t="shared" si="4"/>
        <v>1</v>
      </c>
      <c r="M33" s="36">
        <f t="shared" ref="M33:N38" si="5">M21</f>
        <v>5</v>
      </c>
      <c r="N33" s="36">
        <f t="shared" si="5"/>
        <v>5</v>
      </c>
      <c r="O33" s="28">
        <f t="shared" ref="O33:P38" si="6">1/O21</f>
        <v>1</v>
      </c>
      <c r="P33" s="45">
        <f t="shared" si="6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3"/>
        <v>0.65</v>
      </c>
      <c r="D34" s="24">
        <f t="shared" si="3"/>
        <v>0.54833333333333334</v>
      </c>
      <c r="E34" s="24">
        <f t="shared" si="3"/>
        <v>2.02</v>
      </c>
      <c r="F34" s="24">
        <f t="shared" si="3"/>
        <v>1.8133333333333332</v>
      </c>
      <c r="G34" s="24">
        <f t="shared" si="3"/>
        <v>17.63</v>
      </c>
      <c r="H34" s="24">
        <f t="shared" si="3"/>
        <v>26.78</v>
      </c>
      <c r="I34" s="24">
        <f t="shared" si="3"/>
        <v>32.700000000000003</v>
      </c>
      <c r="J34" s="24">
        <f t="shared" si="3"/>
        <v>34.9</v>
      </c>
      <c r="K34" s="24">
        <f t="shared" si="4"/>
        <v>1</v>
      </c>
      <c r="L34" s="24">
        <f t="shared" si="4"/>
        <v>1</v>
      </c>
      <c r="M34" s="25">
        <f t="shared" si="5"/>
        <v>5</v>
      </c>
      <c r="N34" s="25">
        <f t="shared" si="5"/>
        <v>5</v>
      </c>
      <c r="O34" s="24">
        <f t="shared" si="6"/>
        <v>1</v>
      </c>
      <c r="P34" s="46">
        <f t="shared" si="6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3"/>
        <v>0.83</v>
      </c>
      <c r="D35" s="24">
        <f t="shared" si="3"/>
        <v>0.79833333333333334</v>
      </c>
      <c r="E35" s="24">
        <f t="shared" si="3"/>
        <v>32.69</v>
      </c>
      <c r="F35" s="24">
        <f t="shared" si="3"/>
        <v>31.751666666666665</v>
      </c>
      <c r="G35" s="24">
        <f t="shared" si="3"/>
        <v>91.51</v>
      </c>
      <c r="H35" s="24">
        <f t="shared" si="3"/>
        <v>125.14</v>
      </c>
      <c r="I35" s="24">
        <f t="shared" si="3"/>
        <v>227.06</v>
      </c>
      <c r="J35" s="24">
        <f t="shared" si="3"/>
        <v>261.3</v>
      </c>
      <c r="K35" s="24">
        <f t="shared" si="4"/>
        <v>0.2</v>
      </c>
      <c r="L35" s="24">
        <f t="shared" si="4"/>
        <v>0.2</v>
      </c>
      <c r="M35" s="25">
        <f t="shared" si="5"/>
        <v>1</v>
      </c>
      <c r="N35" s="25">
        <f t="shared" si="5"/>
        <v>4</v>
      </c>
      <c r="O35" s="24">
        <f t="shared" si="6"/>
        <v>0.2</v>
      </c>
      <c r="P35" s="46">
        <f t="shared" si="6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3"/>
        <v>0.72</v>
      </c>
      <c r="D36" s="24">
        <f t="shared" si="3"/>
        <v>0.69333333333333336</v>
      </c>
      <c r="E36" s="24">
        <f t="shared" si="3"/>
        <v>16.3</v>
      </c>
      <c r="F36" s="24">
        <f t="shared" si="3"/>
        <v>14.896666666666668</v>
      </c>
      <c r="G36" s="24">
        <f t="shared" si="3"/>
        <v>50.36</v>
      </c>
      <c r="H36" s="24">
        <f t="shared" si="3"/>
        <v>73.61</v>
      </c>
      <c r="I36" s="24">
        <f t="shared" si="3"/>
        <v>120.14</v>
      </c>
      <c r="J36" s="24">
        <f t="shared" si="3"/>
        <v>141.93</v>
      </c>
      <c r="K36" s="24">
        <f t="shared" si="4"/>
        <v>0.5</v>
      </c>
      <c r="L36" s="24">
        <f t="shared" si="4"/>
        <v>0.5</v>
      </c>
      <c r="M36" s="25">
        <f t="shared" si="5"/>
        <v>2</v>
      </c>
      <c r="N36" s="25">
        <f t="shared" si="5"/>
        <v>2</v>
      </c>
      <c r="O36" s="24">
        <f t="shared" si="6"/>
        <v>0.5</v>
      </c>
      <c r="P36" s="46">
        <f t="shared" si="6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3"/>
        <v>0.63</v>
      </c>
      <c r="D37" s="24">
        <f t="shared" si="3"/>
        <v>0.59</v>
      </c>
      <c r="E37" s="24">
        <f t="shared" si="3"/>
        <v>9.07</v>
      </c>
      <c r="F37" s="24">
        <f t="shared" si="3"/>
        <v>8.8983333333333334</v>
      </c>
      <c r="G37" s="24">
        <f t="shared" si="3"/>
        <v>60.2</v>
      </c>
      <c r="H37" s="24">
        <f t="shared" si="3"/>
        <v>108.63</v>
      </c>
      <c r="I37" s="24">
        <f t="shared" si="3"/>
        <v>60.49</v>
      </c>
      <c r="J37" s="24">
        <f t="shared" si="3"/>
        <v>70.8</v>
      </c>
      <c r="K37" s="24">
        <f t="shared" si="4"/>
        <v>0.5</v>
      </c>
      <c r="L37" s="24">
        <f t="shared" si="4"/>
        <v>0.33333333333333331</v>
      </c>
      <c r="M37" s="25">
        <f t="shared" si="5"/>
        <v>3</v>
      </c>
      <c r="N37" s="25">
        <f t="shared" si="5"/>
        <v>3</v>
      </c>
      <c r="O37" s="24">
        <f t="shared" si="6"/>
        <v>0.5</v>
      </c>
      <c r="P37" s="46">
        <f t="shared" si="6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3"/>
        <v>0.75</v>
      </c>
      <c r="D38" s="39">
        <f t="shared" si="3"/>
        <v>0.745</v>
      </c>
      <c r="E38" s="39">
        <f t="shared" si="3"/>
        <v>31.45</v>
      </c>
      <c r="F38" s="39">
        <f t="shared" si="3"/>
        <v>29.268333333333334</v>
      </c>
      <c r="G38" s="39">
        <f t="shared" si="3"/>
        <v>92.93</v>
      </c>
      <c r="H38" s="39">
        <f t="shared" si="3"/>
        <v>147.31</v>
      </c>
      <c r="I38" s="39">
        <f t="shared" si="3"/>
        <v>201.02</v>
      </c>
      <c r="J38" s="39">
        <f t="shared" si="3"/>
        <v>249.27</v>
      </c>
      <c r="K38" s="39">
        <f t="shared" si="4"/>
        <v>0.25</v>
      </c>
      <c r="L38" s="39">
        <f t="shared" si="4"/>
        <v>0.33333333333333331</v>
      </c>
      <c r="M38" s="43">
        <f t="shared" si="5"/>
        <v>2</v>
      </c>
      <c r="N38" s="43">
        <f t="shared" si="5"/>
        <v>1</v>
      </c>
      <c r="O38" s="32">
        <f t="shared" si="6"/>
        <v>0.5</v>
      </c>
      <c r="P38" s="48">
        <f t="shared" si="6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7">SQRT(C33^2+C34^2+C35^2+C36^2+C37^2+C38^2)</f>
        <v>1.6849925815860436</v>
      </c>
      <c r="D39" s="68">
        <f t="shared" si="7"/>
        <v>1.5950896874819018</v>
      </c>
      <c r="E39" s="68">
        <f t="shared" si="7"/>
        <v>49.098447022283707</v>
      </c>
      <c r="F39" s="68">
        <f t="shared" si="7"/>
        <v>46.58724035493934</v>
      </c>
      <c r="G39" s="68">
        <f t="shared" si="7"/>
        <v>153.87349186913255</v>
      </c>
      <c r="H39" s="68">
        <f t="shared" si="7"/>
        <v>236.36417071967571</v>
      </c>
      <c r="I39" s="68">
        <f t="shared" si="7"/>
        <v>334.40203617801131</v>
      </c>
      <c r="J39" s="68">
        <f t="shared" si="7"/>
        <v>396.84441019119822</v>
      </c>
      <c r="K39" s="64">
        <f t="shared" si="7"/>
        <v>1.6132265804901678</v>
      </c>
      <c r="L39" s="64">
        <f t="shared" si="7"/>
        <v>1.5849991237291654</v>
      </c>
      <c r="M39" s="68">
        <f t="shared" si="7"/>
        <v>8.2462112512353212</v>
      </c>
      <c r="N39" s="68">
        <f t="shared" si="7"/>
        <v>8.9442719099991592</v>
      </c>
      <c r="O39" s="64">
        <f t="shared" si="7"/>
        <v>1.6703293088490065</v>
      </c>
      <c r="P39" s="65">
        <f t="shared" si="7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2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8">C19</f>
        <v>For whole sample</v>
      </c>
      <c r="D44" s="58" t="str">
        <f t="shared" si="8"/>
        <v>For sensitive subgroups</v>
      </c>
      <c r="E44" s="58" t="str">
        <f t="shared" si="8"/>
        <v>For whole sample</v>
      </c>
      <c r="F44" s="58" t="str">
        <f t="shared" si="8"/>
        <v>For sensitive subgroups</v>
      </c>
      <c r="G44" s="58" t="str">
        <f t="shared" si="8"/>
        <v>In peak hours</v>
      </c>
      <c r="H44" s="58" t="str">
        <f t="shared" si="8"/>
        <v>In off-peak hours</v>
      </c>
      <c r="I44" s="58" t="str">
        <f t="shared" si="8"/>
        <v>In peak hours</v>
      </c>
      <c r="J44" s="58" t="str">
        <f t="shared" si="8"/>
        <v>In off-peak hours</v>
      </c>
      <c r="K44" s="59" t="str">
        <f t="shared" si="8"/>
        <v>Monetary cost of travel</v>
      </c>
      <c r="L44" s="59" t="str">
        <f t="shared" si="8"/>
        <v>Risk unpunct./disservice</v>
      </c>
      <c r="M44" s="58" t="str">
        <f t="shared" si="8"/>
        <v>Percept. on-board safety</v>
      </c>
      <c r="N44" s="58" t="str">
        <f t="shared" si="8"/>
        <v>Understandability for users</v>
      </c>
      <c r="O44" s="59" t="s">
        <v>53</v>
      </c>
      <c r="P44" s="63" t="s">
        <v>54</v>
      </c>
      <c r="Q44" s="133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34"/>
      <c r="R45" s="132"/>
      <c r="S45" s="136"/>
    </row>
    <row r="46" spans="2:20" ht="14.5" customHeight="1" x14ac:dyDescent="0.2">
      <c r="B46" s="21" t="s">
        <v>46</v>
      </c>
      <c r="C46" s="38">
        <f t="shared" ref="C46:P51" si="9">C33/C$39</f>
        <v>0.29673721146556137</v>
      </c>
      <c r="D46" s="28">
        <f t="shared" si="9"/>
        <v>0.29569915119397844</v>
      </c>
      <c r="E46" s="28">
        <f t="shared" si="9"/>
        <v>1.9145208392708911E-2</v>
      </c>
      <c r="F46" s="28">
        <f t="shared" si="9"/>
        <v>2.339696431244901E-2</v>
      </c>
      <c r="G46" s="28">
        <f t="shared" si="9"/>
        <v>9.0983832432338776E-2</v>
      </c>
      <c r="H46" s="28">
        <f t="shared" si="9"/>
        <v>0.10115746361726242</v>
      </c>
      <c r="I46" s="28">
        <f t="shared" si="9"/>
        <v>7.8976791833711313E-2</v>
      </c>
      <c r="J46" s="28">
        <f t="shared" si="9"/>
        <v>6.6550011343931376E-2</v>
      </c>
      <c r="K46" s="28">
        <f t="shared" si="9"/>
        <v>0.61987572737374363</v>
      </c>
      <c r="L46" s="28">
        <f t="shared" si="9"/>
        <v>0.63091517530130425</v>
      </c>
      <c r="M46" s="28">
        <f t="shared" si="9"/>
        <v>0.60633906259083248</v>
      </c>
      <c r="N46" s="28">
        <f t="shared" si="9"/>
        <v>0.55901699437494745</v>
      </c>
      <c r="O46" s="28">
        <f t="shared" si="9"/>
        <v>0.59868434008924964</v>
      </c>
      <c r="P46" s="45">
        <f t="shared" si="9"/>
        <v>0.63710926821185676</v>
      </c>
      <c r="Q46" s="85">
        <f t="shared" ref="Q46:Q51" si="10">(C46*$C$52+D46*$D$52+E46*$E$52+F46*$F$52+G46*$G$52+H46*$H$52+I46*$I$52+J46*$J$52)/SUM($C$52:$J$52)</f>
        <v>0.12158082932399274</v>
      </c>
      <c r="R46" s="99">
        <f t="shared" ref="R46:R51" si="11">(K46*$K$52+L46*$L$52+M46*$M$52+N46*$N$52+O46*$O$52+P46*$P$52)/SUM($K$52:$P$52)</f>
        <v>0.60865676132365576</v>
      </c>
      <c r="S46" s="95">
        <f t="shared" ref="S46:S51" si="12">(C46*$C$52+D46*$D$52+E46*$E$52+F46*$F$52+G46*$G$52+H46*$H$52+I46*$I$52+J46*$J$52+K46*$K$52+L46*$L$52+M46*$M$52+N46*$N$52+O46*$O$52+P46*$P$52)/SUM($C$52:$P$52)</f>
        <v>0.33032765732384839</v>
      </c>
      <c r="T46" s="49"/>
    </row>
    <row r="47" spans="2:20" ht="14.5" customHeight="1" x14ac:dyDescent="0.2">
      <c r="B47" s="22" t="s">
        <v>36</v>
      </c>
      <c r="C47" s="41">
        <f t="shared" si="9"/>
        <v>0.3857583749052298</v>
      </c>
      <c r="D47" s="24">
        <f t="shared" si="9"/>
        <v>0.34376332417957206</v>
      </c>
      <c r="E47" s="24">
        <f t="shared" si="9"/>
        <v>4.1141830801353196E-2</v>
      </c>
      <c r="F47" s="24">
        <f t="shared" si="9"/>
        <v>3.8923390171168991E-2</v>
      </c>
      <c r="G47" s="24">
        <f t="shared" si="9"/>
        <v>0.11457464041300948</v>
      </c>
      <c r="H47" s="24">
        <f t="shared" si="9"/>
        <v>0.11329974385906683</v>
      </c>
      <c r="I47" s="24">
        <f t="shared" si="9"/>
        <v>9.7786485913001139E-2</v>
      </c>
      <c r="J47" s="24">
        <f t="shared" si="9"/>
        <v>8.7943786289405718E-2</v>
      </c>
      <c r="K47" s="24">
        <f t="shared" si="9"/>
        <v>0.61987572737374363</v>
      </c>
      <c r="L47" s="24">
        <f t="shared" si="9"/>
        <v>0.63091517530130425</v>
      </c>
      <c r="M47" s="24">
        <f t="shared" si="9"/>
        <v>0.60633906259083248</v>
      </c>
      <c r="N47" s="24">
        <f t="shared" si="9"/>
        <v>0.55901699437494745</v>
      </c>
      <c r="O47" s="24">
        <f t="shared" si="9"/>
        <v>0.59868434008924964</v>
      </c>
      <c r="P47" s="46">
        <f t="shared" si="9"/>
        <v>0.63710926821185676</v>
      </c>
      <c r="Q47" s="86">
        <f t="shared" si="10"/>
        <v>0.15289894706647594</v>
      </c>
      <c r="R47" s="100">
        <f t="shared" si="11"/>
        <v>0.60865676132365576</v>
      </c>
      <c r="S47" s="96">
        <f t="shared" si="12"/>
        <v>0.34822372460526729</v>
      </c>
      <c r="T47" s="49"/>
    </row>
    <row r="48" spans="2:20" ht="14.5" customHeight="1" x14ac:dyDescent="0.2">
      <c r="B48" s="22" t="s">
        <v>37</v>
      </c>
      <c r="C48" s="41">
        <f t="shared" si="9"/>
        <v>0.49258377103283185</v>
      </c>
      <c r="D48" s="24">
        <f t="shared" si="9"/>
        <v>0.50049432304563835</v>
      </c>
      <c r="E48" s="24">
        <f t="shared" si="9"/>
        <v>0.66580517272090889</v>
      </c>
      <c r="F48" s="24">
        <f t="shared" si="9"/>
        <v>0.68155285491814377</v>
      </c>
      <c r="G48" s="24">
        <f t="shared" si="9"/>
        <v>0.59470932184880876</v>
      </c>
      <c r="H48" s="24">
        <f t="shared" si="9"/>
        <v>0.52943726462000085</v>
      </c>
      <c r="I48" s="24">
        <f t="shared" si="9"/>
        <v>0.67900304255064337</v>
      </c>
      <c r="J48" s="24">
        <f t="shared" si="9"/>
        <v>0.65844445150205488</v>
      </c>
      <c r="K48" s="24">
        <f t="shared" si="9"/>
        <v>0.12397514547474875</v>
      </c>
      <c r="L48" s="24">
        <f t="shared" si="9"/>
        <v>0.12618303506026085</v>
      </c>
      <c r="M48" s="24">
        <f t="shared" si="9"/>
        <v>0.12126781251816648</v>
      </c>
      <c r="N48" s="24">
        <f t="shared" si="9"/>
        <v>0.44721359549995793</v>
      </c>
      <c r="O48" s="24">
        <f t="shared" si="9"/>
        <v>0.11973686801784994</v>
      </c>
      <c r="P48" s="46">
        <f t="shared" si="9"/>
        <v>0.12742185364237135</v>
      </c>
      <c r="Q48" s="86">
        <f t="shared" si="10"/>
        <v>0.60025377527987889</v>
      </c>
      <c r="R48" s="100">
        <f t="shared" si="11"/>
        <v>0.1776330517022259</v>
      </c>
      <c r="S48" s="96">
        <f t="shared" si="12"/>
        <v>0.41913060803231339</v>
      </c>
      <c r="T48" s="49"/>
    </row>
    <row r="49" spans="2:20" ht="14.5" customHeight="1" x14ac:dyDescent="0.2">
      <c r="B49" s="22" t="s">
        <v>39</v>
      </c>
      <c r="C49" s="41">
        <f t="shared" si="9"/>
        <v>0.42730158451040839</v>
      </c>
      <c r="D49" s="24">
        <f t="shared" si="9"/>
        <v>0.43466730352189054</v>
      </c>
      <c r="E49" s="24">
        <f t="shared" si="9"/>
        <v>0.33198606042676099</v>
      </c>
      <c r="F49" s="24">
        <f t="shared" si="9"/>
        <v>0.31975851227013646</v>
      </c>
      <c r="G49" s="24">
        <f t="shared" si="9"/>
        <v>0.32728184294947005</v>
      </c>
      <c r="H49" s="24">
        <f t="shared" si="9"/>
        <v>0.31142621902411904</v>
      </c>
      <c r="I49" s="24">
        <f t="shared" si="9"/>
        <v>0.35926814732684881</v>
      </c>
      <c r="J49" s="24">
        <f t="shared" si="9"/>
        <v>0.35764646384112764</v>
      </c>
      <c r="K49" s="24">
        <f t="shared" si="9"/>
        <v>0.30993786368687182</v>
      </c>
      <c r="L49" s="24">
        <f t="shared" si="9"/>
        <v>0.31545758765065213</v>
      </c>
      <c r="M49" s="24">
        <f t="shared" si="9"/>
        <v>0.24253562503633297</v>
      </c>
      <c r="N49" s="24">
        <f t="shared" si="9"/>
        <v>0.22360679774997896</v>
      </c>
      <c r="O49" s="24">
        <f t="shared" si="9"/>
        <v>0.29934217004462482</v>
      </c>
      <c r="P49" s="46">
        <f t="shared" si="9"/>
        <v>0.21236975607061892</v>
      </c>
      <c r="Q49" s="86">
        <f t="shared" si="10"/>
        <v>0.35866701673384532</v>
      </c>
      <c r="R49" s="100">
        <f t="shared" si="11"/>
        <v>0.26720830003984669</v>
      </c>
      <c r="S49" s="96">
        <f t="shared" si="12"/>
        <v>0.31947042386498875</v>
      </c>
      <c r="T49" s="49"/>
    </row>
    <row r="50" spans="2:20" ht="14.5" customHeight="1" x14ac:dyDescent="0.2">
      <c r="B50" s="22" t="s">
        <v>38</v>
      </c>
      <c r="C50" s="41">
        <f t="shared" si="9"/>
        <v>0.37388888644660734</v>
      </c>
      <c r="D50" s="24">
        <f t="shared" si="9"/>
        <v>0.36988515732391647</v>
      </c>
      <c r="E50" s="24">
        <f t="shared" si="9"/>
        <v>0.18473089374667007</v>
      </c>
      <c r="F50" s="24">
        <f t="shared" si="9"/>
        <v>0.19100365820208756</v>
      </c>
      <c r="G50" s="24">
        <f t="shared" si="9"/>
        <v>0.39123047945905676</v>
      </c>
      <c r="H50" s="24">
        <f t="shared" si="9"/>
        <v>0.45958742253212953</v>
      </c>
      <c r="I50" s="24">
        <f t="shared" si="9"/>
        <v>0.1808900468769859</v>
      </c>
      <c r="J50" s="24">
        <f t="shared" si="9"/>
        <v>0.1784074518421182</v>
      </c>
      <c r="K50" s="24">
        <f t="shared" si="9"/>
        <v>0.30993786368687182</v>
      </c>
      <c r="L50" s="24">
        <f t="shared" si="9"/>
        <v>0.21030505843376807</v>
      </c>
      <c r="M50" s="24">
        <f t="shared" si="9"/>
        <v>0.36380343755449945</v>
      </c>
      <c r="N50" s="24">
        <f t="shared" si="9"/>
        <v>0.33541019662496846</v>
      </c>
      <c r="O50" s="24">
        <f t="shared" si="9"/>
        <v>0.29934217004462482</v>
      </c>
      <c r="P50" s="46">
        <f t="shared" si="9"/>
        <v>0.31855463410592838</v>
      </c>
      <c r="Q50" s="86">
        <f t="shared" si="10"/>
        <v>0.29120299955369655</v>
      </c>
      <c r="R50" s="100">
        <f t="shared" si="11"/>
        <v>0.3062255600751102</v>
      </c>
      <c r="S50" s="96">
        <f t="shared" si="12"/>
        <v>0.29764123977715962</v>
      </c>
      <c r="T50" s="49"/>
    </row>
    <row r="51" spans="2:20" ht="14.5" customHeight="1" thickBot="1" x14ac:dyDescent="0.25">
      <c r="B51" s="22" t="s">
        <v>40</v>
      </c>
      <c r="C51" s="47">
        <f t="shared" si="9"/>
        <v>0.44510581719834208</v>
      </c>
      <c r="D51" s="32">
        <f t="shared" si="9"/>
        <v>0.46705837662087757</v>
      </c>
      <c r="E51" s="32">
        <f t="shared" si="9"/>
        <v>0.64054979143690993</v>
      </c>
      <c r="F51" s="32">
        <f t="shared" si="9"/>
        <v>0.62824784448152449</v>
      </c>
      <c r="G51" s="32">
        <f t="shared" si="9"/>
        <v>0.60393768199551745</v>
      </c>
      <c r="H51" s="32">
        <f t="shared" si="9"/>
        <v>0.62323320641819024</v>
      </c>
      <c r="I51" s="32">
        <f t="shared" si="9"/>
        <v>0.60113270330983148</v>
      </c>
      <c r="J51" s="32">
        <f t="shared" si="9"/>
        <v>0.62813030396447467</v>
      </c>
      <c r="K51" s="32">
        <f t="shared" si="9"/>
        <v>0.15496893184343591</v>
      </c>
      <c r="L51" s="32">
        <f t="shared" si="9"/>
        <v>0.21030505843376807</v>
      </c>
      <c r="M51" s="32">
        <f t="shared" si="9"/>
        <v>0.24253562503633297</v>
      </c>
      <c r="N51" s="32">
        <f t="shared" si="9"/>
        <v>0.11180339887498948</v>
      </c>
      <c r="O51" s="32">
        <f t="shared" si="9"/>
        <v>0.29934217004462482</v>
      </c>
      <c r="P51" s="48">
        <f t="shared" si="9"/>
        <v>0.15927731705296419</v>
      </c>
      <c r="Q51" s="87">
        <f t="shared" si="10"/>
        <v>0.57967446567820857</v>
      </c>
      <c r="R51" s="101">
        <f t="shared" si="11"/>
        <v>0.19637208354768595</v>
      </c>
      <c r="S51" s="97">
        <f t="shared" si="12"/>
        <v>0.41540201619369893</v>
      </c>
      <c r="T51" s="49"/>
    </row>
    <row r="52" spans="2:20" ht="19.75" customHeight="1" thickBot="1" x14ac:dyDescent="0.25">
      <c r="B52" s="51" t="s">
        <v>51</v>
      </c>
      <c r="C52" s="88">
        <f t="shared" ref="C52:P52" si="13">C14</f>
        <v>7.1428571428571425E-2</v>
      </c>
      <c r="D52" s="89">
        <f t="shared" si="13"/>
        <v>7.1428571428571425E-2</v>
      </c>
      <c r="E52" s="89">
        <f t="shared" si="13"/>
        <v>7.1428571428571425E-2</v>
      </c>
      <c r="F52" s="89">
        <f t="shared" si="13"/>
        <v>7.1428571428571425E-2</v>
      </c>
      <c r="G52" s="89">
        <f t="shared" si="13"/>
        <v>7.1428571428571425E-2</v>
      </c>
      <c r="H52" s="89">
        <f t="shared" si="13"/>
        <v>7.1428571428571425E-2</v>
      </c>
      <c r="I52" s="89">
        <f t="shared" si="13"/>
        <v>7.1428571428571425E-2</v>
      </c>
      <c r="J52" s="89">
        <f t="shared" si="13"/>
        <v>7.1428571428571425E-2</v>
      </c>
      <c r="K52" s="90">
        <f t="shared" si="13"/>
        <v>7.1428571428571425E-2</v>
      </c>
      <c r="L52" s="90">
        <f t="shared" si="13"/>
        <v>7.1428571428571425E-2</v>
      </c>
      <c r="M52" s="89">
        <f t="shared" si="13"/>
        <v>7.1428571428571425E-2</v>
      </c>
      <c r="N52" s="89">
        <f t="shared" si="13"/>
        <v>7.1428571428571425E-2</v>
      </c>
      <c r="O52" s="90">
        <f t="shared" si="13"/>
        <v>7.1428571428571425E-2</v>
      </c>
      <c r="P52" s="91">
        <f t="shared" si="13"/>
        <v>7.1428571428571425E-2</v>
      </c>
      <c r="Q52" s="128">
        <f>SUM(C52:P52)</f>
        <v>0.99999999999999967</v>
      </c>
      <c r="R52" s="129"/>
      <c r="S52" s="130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Q52:S52"/>
    <mergeCell ref="R44:R45"/>
    <mergeCell ref="B29:P29"/>
    <mergeCell ref="B30:B32"/>
    <mergeCell ref="C30:J30"/>
    <mergeCell ref="K30:P30"/>
    <mergeCell ref="B40:P40"/>
    <mergeCell ref="B42:S42"/>
    <mergeCell ref="B43:B45"/>
    <mergeCell ref="C43:J43"/>
    <mergeCell ref="K43:P43"/>
    <mergeCell ref="Q44:Q45"/>
    <mergeCell ref="S44:S45"/>
    <mergeCell ref="B27:P27"/>
    <mergeCell ref="C10:D10"/>
    <mergeCell ref="E10:F10"/>
    <mergeCell ref="G10:H10"/>
    <mergeCell ref="I10:J10"/>
    <mergeCell ref="K10:P10"/>
    <mergeCell ref="C11:D11"/>
    <mergeCell ref="E11:F11"/>
    <mergeCell ref="G11:H11"/>
    <mergeCell ref="I11:J11"/>
    <mergeCell ref="K11:P11"/>
    <mergeCell ref="B15:P15"/>
    <mergeCell ref="B17:P17"/>
    <mergeCell ref="B18:B20"/>
    <mergeCell ref="C18:J18"/>
    <mergeCell ref="K18:P18"/>
    <mergeCell ref="C8:F8"/>
    <mergeCell ref="G8:J8"/>
    <mergeCell ref="K8:P8"/>
    <mergeCell ref="C9:F9"/>
    <mergeCell ref="G9:J9"/>
    <mergeCell ref="K9:P9"/>
    <mergeCell ref="C7:J7"/>
    <mergeCell ref="K7:P7"/>
    <mergeCell ref="C2:P2"/>
    <mergeCell ref="C3:P3"/>
    <mergeCell ref="B5:P5"/>
    <mergeCell ref="C6:J6"/>
    <mergeCell ref="K6:P6"/>
  </mergeCells>
  <conditionalFormatting sqref="Q46:Q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6:R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249977111117893"/>
  </sheetPr>
  <dimension ref="B1:T55"/>
  <sheetViews>
    <sheetView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60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1</v>
      </c>
      <c r="C7" s="102">
        <v>0.65</v>
      </c>
      <c r="D7" s="103"/>
      <c r="E7" s="103"/>
      <c r="F7" s="103"/>
      <c r="G7" s="103"/>
      <c r="H7" s="103"/>
      <c r="I7" s="103"/>
      <c r="J7" s="104"/>
      <c r="K7" s="103">
        <v>0.35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0.99999999999999989</v>
      </c>
      <c r="C9" s="102">
        <v>0.3</v>
      </c>
      <c r="D9" s="103"/>
      <c r="E9" s="103"/>
      <c r="F9" s="104"/>
      <c r="G9" s="103">
        <v>0.35</v>
      </c>
      <c r="H9" s="103"/>
      <c r="I9" s="103"/>
      <c r="J9" s="104"/>
      <c r="K9" s="103">
        <v>0.35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1</v>
      </c>
      <c r="C11" s="102">
        <v>0.2</v>
      </c>
      <c r="D11" s="104"/>
      <c r="E11" s="103">
        <v>0.1</v>
      </c>
      <c r="F11" s="104"/>
      <c r="G11" s="137">
        <v>0.15</v>
      </c>
      <c r="H11" s="104"/>
      <c r="I11" s="103">
        <v>0.2</v>
      </c>
      <c r="J11" s="104"/>
      <c r="K11" s="103">
        <v>0.35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1.0000000000000002</v>
      </c>
      <c r="C14" s="9">
        <v>0.1</v>
      </c>
      <c r="D14" s="10">
        <v>0.1</v>
      </c>
      <c r="E14" s="11">
        <v>0.05</v>
      </c>
      <c r="F14" s="10">
        <v>0.05</v>
      </c>
      <c r="G14" s="12">
        <v>0.1</v>
      </c>
      <c r="H14" s="13">
        <v>0.05</v>
      </c>
      <c r="I14" s="12">
        <v>0.15</v>
      </c>
      <c r="J14" s="13">
        <v>0.05</v>
      </c>
      <c r="K14" s="12">
        <v>0.05</v>
      </c>
      <c r="L14" s="14">
        <v>0.1</v>
      </c>
      <c r="M14" s="14">
        <v>0.05</v>
      </c>
      <c r="N14" s="14">
        <v>0.05</v>
      </c>
      <c r="O14" s="14">
        <v>0.05</v>
      </c>
      <c r="P14" s="62">
        <v>0.05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0">C12</f>
        <v>For whole sample</v>
      </c>
      <c r="D19" s="58" t="str">
        <f t="shared" si="0"/>
        <v>For sensitive subgroups</v>
      </c>
      <c r="E19" s="58" t="str">
        <f t="shared" si="0"/>
        <v>For whole sample</v>
      </c>
      <c r="F19" s="58" t="str">
        <f t="shared" si="0"/>
        <v>For sensitive subgroups</v>
      </c>
      <c r="G19" s="58" t="str">
        <f t="shared" si="0"/>
        <v>In peak hours</v>
      </c>
      <c r="H19" s="58" t="str">
        <f t="shared" si="0"/>
        <v>In off-peak hours</v>
      </c>
      <c r="I19" s="58" t="str">
        <f t="shared" si="0"/>
        <v>In peak hours</v>
      </c>
      <c r="J19" s="58" t="str">
        <f t="shared" si="0"/>
        <v>In off-peak hours</v>
      </c>
      <c r="K19" s="59" t="str">
        <f t="shared" si="0"/>
        <v>Monetary cost of travel</v>
      </c>
      <c r="L19" s="59" t="str">
        <f t="shared" si="0"/>
        <v>Risk unpunct./disservice</v>
      </c>
      <c r="M19" s="58" t="str">
        <f t="shared" si="0"/>
        <v>Percept. on-board safety</v>
      </c>
      <c r="N19" s="58" t="str">
        <f t="shared" si="0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2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3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1">C12</f>
        <v>For whole sample</v>
      </c>
      <c r="D31" s="58" t="str">
        <f t="shared" si="1"/>
        <v>For sensitive subgroups</v>
      </c>
      <c r="E31" s="58" t="str">
        <f t="shared" si="1"/>
        <v>For whole sample</v>
      </c>
      <c r="F31" s="58" t="str">
        <f t="shared" si="1"/>
        <v>For sensitive subgroups</v>
      </c>
      <c r="G31" s="58" t="str">
        <f t="shared" si="1"/>
        <v>In peak hours</v>
      </c>
      <c r="H31" s="58" t="str">
        <f t="shared" si="1"/>
        <v>In off-peak hours</v>
      </c>
      <c r="I31" s="58" t="str">
        <f t="shared" si="1"/>
        <v>In peak hours</v>
      </c>
      <c r="J31" s="58" t="str">
        <f t="shared" si="1"/>
        <v>In off-peak hours</v>
      </c>
      <c r="K31" s="59" t="str">
        <f t="shared" si="1"/>
        <v>Monetary cost of travel</v>
      </c>
      <c r="L31" s="59" t="str">
        <f t="shared" si="1"/>
        <v>Risk unpunct./disservice</v>
      </c>
      <c r="M31" s="58" t="str">
        <f t="shared" si="1"/>
        <v>Percept. on-board safety</v>
      </c>
      <c r="N31" s="58" t="str">
        <f t="shared" si="1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2">C21</f>
        <v>0.5</v>
      </c>
      <c r="D33" s="37">
        <f t="shared" si="2"/>
        <v>0.47166666666666668</v>
      </c>
      <c r="E33" s="37">
        <f t="shared" si="2"/>
        <v>0.94</v>
      </c>
      <c r="F33" s="37">
        <f t="shared" si="2"/>
        <v>1.0900000000000001</v>
      </c>
      <c r="G33" s="37">
        <f t="shared" si="2"/>
        <v>14</v>
      </c>
      <c r="H33" s="37">
        <f t="shared" si="2"/>
        <v>23.91</v>
      </c>
      <c r="I33" s="37">
        <f t="shared" si="2"/>
        <v>26.41</v>
      </c>
      <c r="J33" s="37">
        <f t="shared" si="2"/>
        <v>26.41</v>
      </c>
      <c r="K33" s="37">
        <f t="shared" ref="K33:L38" si="3">1/K21</f>
        <v>1</v>
      </c>
      <c r="L33" s="37">
        <f t="shared" si="3"/>
        <v>1</v>
      </c>
      <c r="M33" s="36">
        <f t="shared" ref="M33:N38" si="4">M21</f>
        <v>5</v>
      </c>
      <c r="N33" s="36">
        <f t="shared" si="4"/>
        <v>5</v>
      </c>
      <c r="O33" s="28">
        <f t="shared" ref="O33:P38" si="5">1/O21</f>
        <v>1</v>
      </c>
      <c r="P33" s="45">
        <f t="shared" si="5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2"/>
        <v>0.65</v>
      </c>
      <c r="D34" s="24">
        <f t="shared" si="2"/>
        <v>0.54833333333333334</v>
      </c>
      <c r="E34" s="24">
        <f t="shared" si="2"/>
        <v>2.02</v>
      </c>
      <c r="F34" s="24">
        <f t="shared" si="2"/>
        <v>1.8133333333333332</v>
      </c>
      <c r="G34" s="24">
        <f t="shared" si="2"/>
        <v>17.63</v>
      </c>
      <c r="H34" s="24">
        <f t="shared" si="2"/>
        <v>26.78</v>
      </c>
      <c r="I34" s="24">
        <f t="shared" si="2"/>
        <v>32.700000000000003</v>
      </c>
      <c r="J34" s="24">
        <f t="shared" si="2"/>
        <v>34.9</v>
      </c>
      <c r="K34" s="24">
        <f t="shared" si="3"/>
        <v>1</v>
      </c>
      <c r="L34" s="24">
        <f t="shared" si="3"/>
        <v>1</v>
      </c>
      <c r="M34" s="25">
        <f t="shared" si="4"/>
        <v>5</v>
      </c>
      <c r="N34" s="25">
        <f t="shared" si="4"/>
        <v>5</v>
      </c>
      <c r="O34" s="24">
        <f t="shared" si="5"/>
        <v>1</v>
      </c>
      <c r="P34" s="46">
        <f t="shared" si="5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2"/>
        <v>0.83</v>
      </c>
      <c r="D35" s="24">
        <f t="shared" si="2"/>
        <v>0.79833333333333334</v>
      </c>
      <c r="E35" s="24">
        <f t="shared" si="2"/>
        <v>32.69</v>
      </c>
      <c r="F35" s="24">
        <f t="shared" si="2"/>
        <v>31.751666666666665</v>
      </c>
      <c r="G35" s="24">
        <f t="shared" si="2"/>
        <v>91.51</v>
      </c>
      <c r="H35" s="24">
        <f t="shared" si="2"/>
        <v>125.14</v>
      </c>
      <c r="I35" s="24">
        <f t="shared" si="2"/>
        <v>227.06</v>
      </c>
      <c r="J35" s="24">
        <f t="shared" si="2"/>
        <v>261.3</v>
      </c>
      <c r="K35" s="24">
        <f t="shared" si="3"/>
        <v>0.2</v>
      </c>
      <c r="L35" s="24">
        <f t="shared" si="3"/>
        <v>0.2</v>
      </c>
      <c r="M35" s="25">
        <f t="shared" si="4"/>
        <v>1</v>
      </c>
      <c r="N35" s="25">
        <f t="shared" si="4"/>
        <v>4</v>
      </c>
      <c r="O35" s="24">
        <f t="shared" si="5"/>
        <v>0.2</v>
      </c>
      <c r="P35" s="46">
        <f t="shared" si="5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2"/>
        <v>0.72</v>
      </c>
      <c r="D36" s="24">
        <f t="shared" si="2"/>
        <v>0.69333333333333336</v>
      </c>
      <c r="E36" s="24">
        <f t="shared" si="2"/>
        <v>16.3</v>
      </c>
      <c r="F36" s="24">
        <f t="shared" si="2"/>
        <v>14.896666666666668</v>
      </c>
      <c r="G36" s="24">
        <f t="shared" si="2"/>
        <v>50.36</v>
      </c>
      <c r="H36" s="24">
        <f t="shared" si="2"/>
        <v>73.61</v>
      </c>
      <c r="I36" s="24">
        <f t="shared" si="2"/>
        <v>120.14</v>
      </c>
      <c r="J36" s="24">
        <f t="shared" si="2"/>
        <v>141.93</v>
      </c>
      <c r="K36" s="24">
        <f t="shared" si="3"/>
        <v>0.5</v>
      </c>
      <c r="L36" s="24">
        <f t="shared" si="3"/>
        <v>0.5</v>
      </c>
      <c r="M36" s="25">
        <f t="shared" si="4"/>
        <v>2</v>
      </c>
      <c r="N36" s="25">
        <f t="shared" si="4"/>
        <v>2</v>
      </c>
      <c r="O36" s="24">
        <f t="shared" si="5"/>
        <v>0.5</v>
      </c>
      <c r="P36" s="46">
        <f t="shared" si="5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2"/>
        <v>0.63</v>
      </c>
      <c r="D37" s="24">
        <f t="shared" si="2"/>
        <v>0.59</v>
      </c>
      <c r="E37" s="24">
        <f t="shared" si="2"/>
        <v>9.07</v>
      </c>
      <c r="F37" s="24">
        <f t="shared" si="2"/>
        <v>8.8983333333333334</v>
      </c>
      <c r="G37" s="24">
        <f t="shared" si="2"/>
        <v>60.2</v>
      </c>
      <c r="H37" s="24">
        <f t="shared" si="2"/>
        <v>108.63</v>
      </c>
      <c r="I37" s="24">
        <f t="shared" si="2"/>
        <v>60.49</v>
      </c>
      <c r="J37" s="24">
        <f t="shared" si="2"/>
        <v>70.8</v>
      </c>
      <c r="K37" s="24">
        <f t="shared" si="3"/>
        <v>0.5</v>
      </c>
      <c r="L37" s="24">
        <f t="shared" si="3"/>
        <v>0.33333333333333331</v>
      </c>
      <c r="M37" s="25">
        <f t="shared" si="4"/>
        <v>3</v>
      </c>
      <c r="N37" s="25">
        <f t="shared" si="4"/>
        <v>3</v>
      </c>
      <c r="O37" s="24">
        <f t="shared" si="5"/>
        <v>0.5</v>
      </c>
      <c r="P37" s="46">
        <f t="shared" si="5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2"/>
        <v>0.75</v>
      </c>
      <c r="D38" s="39">
        <f t="shared" si="2"/>
        <v>0.745</v>
      </c>
      <c r="E38" s="39">
        <f t="shared" si="2"/>
        <v>31.45</v>
      </c>
      <c r="F38" s="39">
        <f t="shared" si="2"/>
        <v>29.268333333333334</v>
      </c>
      <c r="G38" s="39">
        <f t="shared" si="2"/>
        <v>92.93</v>
      </c>
      <c r="H38" s="39">
        <f t="shared" si="2"/>
        <v>147.31</v>
      </c>
      <c r="I38" s="39">
        <f t="shared" si="2"/>
        <v>201.02</v>
      </c>
      <c r="J38" s="39">
        <f t="shared" si="2"/>
        <v>249.27</v>
      </c>
      <c r="K38" s="39">
        <f t="shared" si="3"/>
        <v>0.25</v>
      </c>
      <c r="L38" s="39">
        <f t="shared" si="3"/>
        <v>0.33333333333333331</v>
      </c>
      <c r="M38" s="43">
        <f t="shared" si="4"/>
        <v>2</v>
      </c>
      <c r="N38" s="43">
        <f t="shared" si="4"/>
        <v>1</v>
      </c>
      <c r="O38" s="32">
        <f t="shared" si="5"/>
        <v>0.5</v>
      </c>
      <c r="P38" s="48">
        <f t="shared" si="5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6">SQRT(C33^2+C34^2+C35^2+C36^2+C37^2+C38^2)</f>
        <v>1.6849925815860436</v>
      </c>
      <c r="D39" s="68">
        <f t="shared" si="6"/>
        <v>1.5950896874819018</v>
      </c>
      <c r="E39" s="68">
        <f t="shared" si="6"/>
        <v>49.098447022283707</v>
      </c>
      <c r="F39" s="68">
        <f t="shared" si="6"/>
        <v>46.58724035493934</v>
      </c>
      <c r="G39" s="68">
        <f t="shared" si="6"/>
        <v>153.87349186913255</v>
      </c>
      <c r="H39" s="68">
        <f t="shared" si="6"/>
        <v>236.36417071967571</v>
      </c>
      <c r="I39" s="68">
        <f t="shared" si="6"/>
        <v>334.40203617801131</v>
      </c>
      <c r="J39" s="68">
        <f t="shared" si="6"/>
        <v>396.84441019119822</v>
      </c>
      <c r="K39" s="64">
        <f t="shared" si="6"/>
        <v>1.6132265804901678</v>
      </c>
      <c r="L39" s="64">
        <f t="shared" si="6"/>
        <v>1.5849991237291654</v>
      </c>
      <c r="M39" s="68">
        <f t="shared" si="6"/>
        <v>8.2462112512353212</v>
      </c>
      <c r="N39" s="68">
        <f t="shared" si="6"/>
        <v>8.9442719099991592</v>
      </c>
      <c r="O39" s="64">
        <f t="shared" si="6"/>
        <v>1.6703293088490065</v>
      </c>
      <c r="P39" s="65">
        <f t="shared" si="6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4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7">C19</f>
        <v>For whole sample</v>
      </c>
      <c r="D44" s="58" t="str">
        <f t="shared" si="7"/>
        <v>For sensitive subgroups</v>
      </c>
      <c r="E44" s="58" t="str">
        <f t="shared" si="7"/>
        <v>For whole sample</v>
      </c>
      <c r="F44" s="58" t="str">
        <f t="shared" si="7"/>
        <v>For sensitive subgroups</v>
      </c>
      <c r="G44" s="58" t="str">
        <f t="shared" si="7"/>
        <v>In peak hours</v>
      </c>
      <c r="H44" s="58" t="str">
        <f t="shared" si="7"/>
        <v>In off-peak hours</v>
      </c>
      <c r="I44" s="58" t="str">
        <f t="shared" si="7"/>
        <v>In peak hours</v>
      </c>
      <c r="J44" s="58" t="str">
        <f t="shared" si="7"/>
        <v>In off-peak hours</v>
      </c>
      <c r="K44" s="59" t="str">
        <f t="shared" si="7"/>
        <v>Monetary cost of travel</v>
      </c>
      <c r="L44" s="59" t="str">
        <f t="shared" si="7"/>
        <v>Risk unpunct./disservice</v>
      </c>
      <c r="M44" s="58" t="str">
        <f t="shared" si="7"/>
        <v>Percept. on-board safety</v>
      </c>
      <c r="N44" s="58" t="str">
        <f t="shared" si="7"/>
        <v>Understandability for users</v>
      </c>
      <c r="O44" s="59" t="s">
        <v>53</v>
      </c>
      <c r="P44" s="63" t="s">
        <v>54</v>
      </c>
      <c r="Q44" s="133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38"/>
      <c r="R45" s="139"/>
      <c r="S45" s="140"/>
    </row>
    <row r="46" spans="2:20" ht="14.5" customHeight="1" x14ac:dyDescent="0.2">
      <c r="B46" s="21" t="s">
        <v>46</v>
      </c>
      <c r="C46" s="38">
        <f t="shared" ref="C46:P46" si="8">C33/C$39</f>
        <v>0.29673721146556137</v>
      </c>
      <c r="D46" s="28">
        <f t="shared" si="8"/>
        <v>0.29569915119397844</v>
      </c>
      <c r="E46" s="28">
        <f t="shared" si="8"/>
        <v>1.9145208392708911E-2</v>
      </c>
      <c r="F46" s="28">
        <f t="shared" si="8"/>
        <v>2.339696431244901E-2</v>
      </c>
      <c r="G46" s="28">
        <f t="shared" si="8"/>
        <v>9.0983832432338776E-2</v>
      </c>
      <c r="H46" s="28">
        <f t="shared" si="8"/>
        <v>0.10115746361726242</v>
      </c>
      <c r="I46" s="28">
        <f t="shared" si="8"/>
        <v>7.8976791833711313E-2</v>
      </c>
      <c r="J46" s="28">
        <f t="shared" si="8"/>
        <v>6.6550011343931376E-2</v>
      </c>
      <c r="K46" s="28">
        <f t="shared" si="8"/>
        <v>0.61987572737374363</v>
      </c>
      <c r="L46" s="28">
        <f t="shared" si="8"/>
        <v>0.63091517530130425</v>
      </c>
      <c r="M46" s="28">
        <f t="shared" si="8"/>
        <v>0.60633906259083248</v>
      </c>
      <c r="N46" s="28">
        <f t="shared" si="8"/>
        <v>0.55901699437494745</v>
      </c>
      <c r="O46" s="28">
        <f t="shared" si="8"/>
        <v>0.59868434008924964</v>
      </c>
      <c r="P46" s="45">
        <f t="shared" si="8"/>
        <v>0.63710926821185676</v>
      </c>
      <c r="Q46" s="85">
        <f t="shared" ref="Q46:Q51" si="9">(C46*$C$52+D46*$D$52+E46*$E$52+F46*$F$52+G46*$G$52+H46*$H$52+I46*$I$52+J46*$J$52)/SUM($C$52:$J$52)</f>
        <v>0.13954003179624944</v>
      </c>
      <c r="R46" s="99">
        <f t="shared" ref="R46:R51" si="10">(K46*$K$52+L46*$L$52+M46*$M$52+N46*$N$52+O46*$O$52+P46*$P$52)/SUM($K$52:$P$52)</f>
        <v>0.6118365347490341</v>
      </c>
      <c r="S46" s="95">
        <f t="shared" ref="S46:S51" si="11">(C46*$C$52+D46*$D$52+E46*$E$52+F46*$F$52+G46*$G$52+H46*$H$52+I46*$I$52+J46*$J$52+K46*$K$52+L46*$L$52+M46*$M$52+N46*$N$52+O46*$O$52+P46*$P$52)/SUM($C$52:$P$52)</f>
        <v>0.30484380782972403</v>
      </c>
      <c r="T46" s="49"/>
    </row>
    <row r="47" spans="2:20" ht="14.5" customHeight="1" x14ac:dyDescent="0.2">
      <c r="B47" s="22" t="s">
        <v>36</v>
      </c>
      <c r="C47" s="41">
        <f t="shared" ref="C47:P47" si="12">C34/C$39</f>
        <v>0.3857583749052298</v>
      </c>
      <c r="D47" s="24">
        <f t="shared" si="12"/>
        <v>0.34376332417957206</v>
      </c>
      <c r="E47" s="24">
        <f t="shared" si="12"/>
        <v>4.1141830801353196E-2</v>
      </c>
      <c r="F47" s="24">
        <f t="shared" si="12"/>
        <v>3.8923390171168991E-2</v>
      </c>
      <c r="G47" s="24">
        <f t="shared" si="12"/>
        <v>0.11457464041300948</v>
      </c>
      <c r="H47" s="24">
        <f t="shared" si="12"/>
        <v>0.11329974385906683</v>
      </c>
      <c r="I47" s="24">
        <f t="shared" si="12"/>
        <v>9.7786485913001139E-2</v>
      </c>
      <c r="J47" s="24">
        <f t="shared" si="12"/>
        <v>8.7943786289405718E-2</v>
      </c>
      <c r="K47" s="24">
        <f t="shared" si="12"/>
        <v>0.61987572737374363</v>
      </c>
      <c r="L47" s="24">
        <f t="shared" si="12"/>
        <v>0.63091517530130425</v>
      </c>
      <c r="M47" s="24">
        <f t="shared" si="12"/>
        <v>0.60633906259083248</v>
      </c>
      <c r="N47" s="24">
        <f t="shared" si="12"/>
        <v>0.55901699437494745</v>
      </c>
      <c r="O47" s="24">
        <f t="shared" si="12"/>
        <v>0.59868434008924964</v>
      </c>
      <c r="P47" s="46">
        <f t="shared" si="12"/>
        <v>0.63710926821185676</v>
      </c>
      <c r="Q47" s="86">
        <f t="shared" si="9"/>
        <v>0.17406622214274003</v>
      </c>
      <c r="R47" s="100">
        <f t="shared" si="10"/>
        <v>0.6118365347490341</v>
      </c>
      <c r="S47" s="96">
        <f t="shared" si="11"/>
        <v>0.3272858315549429</v>
      </c>
      <c r="T47" s="49"/>
    </row>
    <row r="48" spans="2:20" ht="14.5" customHeight="1" x14ac:dyDescent="0.2">
      <c r="B48" s="22" t="s">
        <v>37</v>
      </c>
      <c r="C48" s="41">
        <f t="shared" ref="C48:P48" si="13">C35/C$39</f>
        <v>0.49258377103283185</v>
      </c>
      <c r="D48" s="24">
        <f t="shared" si="13"/>
        <v>0.50049432304563835</v>
      </c>
      <c r="E48" s="24">
        <f t="shared" si="13"/>
        <v>0.66580517272090889</v>
      </c>
      <c r="F48" s="24">
        <f t="shared" si="13"/>
        <v>0.68155285491814377</v>
      </c>
      <c r="G48" s="24">
        <f t="shared" si="13"/>
        <v>0.59470932184880876</v>
      </c>
      <c r="H48" s="24">
        <f t="shared" si="13"/>
        <v>0.52943726462000085</v>
      </c>
      <c r="I48" s="24">
        <f t="shared" si="13"/>
        <v>0.67900304255064337</v>
      </c>
      <c r="J48" s="24">
        <f t="shared" si="13"/>
        <v>0.65844445150205488</v>
      </c>
      <c r="K48" s="24">
        <f t="shared" si="13"/>
        <v>0.12397514547474875</v>
      </c>
      <c r="L48" s="24">
        <f t="shared" si="13"/>
        <v>0.12618303506026085</v>
      </c>
      <c r="M48" s="24">
        <f t="shared" si="13"/>
        <v>0.12126781251816648</v>
      </c>
      <c r="N48" s="24">
        <f t="shared" si="13"/>
        <v>0.44721359549995793</v>
      </c>
      <c r="O48" s="24">
        <f t="shared" si="13"/>
        <v>0.11973686801784994</v>
      </c>
      <c r="P48" s="46">
        <f t="shared" si="13"/>
        <v>0.12742185364237135</v>
      </c>
      <c r="Q48" s="86">
        <f t="shared" si="9"/>
        <v>0.59598643871289203</v>
      </c>
      <c r="R48" s="100">
        <f t="shared" si="10"/>
        <v>0.17028304932480234</v>
      </c>
      <c r="S48" s="96">
        <f t="shared" si="11"/>
        <v>0.44699025242706053</v>
      </c>
      <c r="T48" s="49"/>
    </row>
    <row r="49" spans="2:20" ht="14.5" customHeight="1" x14ac:dyDescent="0.2">
      <c r="B49" s="22" t="s">
        <v>39</v>
      </c>
      <c r="C49" s="41">
        <f t="shared" ref="C49:P49" si="14">C36/C$39</f>
        <v>0.42730158451040839</v>
      </c>
      <c r="D49" s="24">
        <f t="shared" si="14"/>
        <v>0.43466730352189054</v>
      </c>
      <c r="E49" s="24">
        <f t="shared" si="14"/>
        <v>0.33198606042676099</v>
      </c>
      <c r="F49" s="24">
        <f t="shared" si="14"/>
        <v>0.31975851227013646</v>
      </c>
      <c r="G49" s="24">
        <f t="shared" si="14"/>
        <v>0.32728184294947005</v>
      </c>
      <c r="H49" s="24">
        <f t="shared" si="14"/>
        <v>0.31142621902411904</v>
      </c>
      <c r="I49" s="24">
        <f t="shared" si="14"/>
        <v>0.35926814732684881</v>
      </c>
      <c r="J49" s="24">
        <f t="shared" si="14"/>
        <v>0.35764646384112764</v>
      </c>
      <c r="K49" s="24">
        <f t="shared" si="14"/>
        <v>0.30993786368687182</v>
      </c>
      <c r="L49" s="24">
        <f t="shared" si="14"/>
        <v>0.31545758765065213</v>
      </c>
      <c r="M49" s="24">
        <f t="shared" si="14"/>
        <v>0.24253562503633297</v>
      </c>
      <c r="N49" s="24">
        <f t="shared" si="14"/>
        <v>0.22360679774997896</v>
      </c>
      <c r="O49" s="24">
        <f t="shared" si="14"/>
        <v>0.29934217004462482</v>
      </c>
      <c r="P49" s="46">
        <f t="shared" si="14"/>
        <v>0.21236975607061892</v>
      </c>
      <c r="Q49" s="86">
        <f t="shared" si="9"/>
        <v>0.36747101226970985</v>
      </c>
      <c r="R49" s="100">
        <f t="shared" si="10"/>
        <v>0.27410105541281887</v>
      </c>
      <c r="S49" s="96">
        <f t="shared" si="11"/>
        <v>0.33479152736979795</v>
      </c>
      <c r="T49" s="49"/>
    </row>
    <row r="50" spans="2:20" ht="14.5" customHeight="1" x14ac:dyDescent="0.2">
      <c r="B50" s="22" t="s">
        <v>38</v>
      </c>
      <c r="C50" s="41">
        <f t="shared" ref="C50:P50" si="15">C37/C$39</f>
        <v>0.37388888644660734</v>
      </c>
      <c r="D50" s="24">
        <f t="shared" si="15"/>
        <v>0.36988515732391647</v>
      </c>
      <c r="E50" s="24">
        <f t="shared" si="15"/>
        <v>0.18473089374667007</v>
      </c>
      <c r="F50" s="24">
        <f t="shared" si="15"/>
        <v>0.19100365820208756</v>
      </c>
      <c r="G50" s="24">
        <f t="shared" si="15"/>
        <v>0.39123047945905676</v>
      </c>
      <c r="H50" s="24">
        <f t="shared" si="15"/>
        <v>0.45958742253212953</v>
      </c>
      <c r="I50" s="24">
        <f t="shared" si="15"/>
        <v>0.1808900468769859</v>
      </c>
      <c r="J50" s="24">
        <f t="shared" si="15"/>
        <v>0.1784074518421182</v>
      </c>
      <c r="K50" s="24">
        <f t="shared" si="15"/>
        <v>0.30993786368687182</v>
      </c>
      <c r="L50" s="24">
        <f t="shared" si="15"/>
        <v>0.21030505843376807</v>
      </c>
      <c r="M50" s="24">
        <f t="shared" si="15"/>
        <v>0.36380343755449945</v>
      </c>
      <c r="N50" s="24">
        <f t="shared" si="15"/>
        <v>0.33541019662496846</v>
      </c>
      <c r="O50" s="24">
        <f t="shared" si="15"/>
        <v>0.29934217004462482</v>
      </c>
      <c r="P50" s="46">
        <f t="shared" si="15"/>
        <v>0.31855463410592838</v>
      </c>
      <c r="Q50" s="86">
        <f t="shared" si="9"/>
        <v>0.29433912410870183</v>
      </c>
      <c r="R50" s="100">
        <f t="shared" si="10"/>
        <v>0.29252263126920419</v>
      </c>
      <c r="S50" s="96">
        <f t="shared" si="11"/>
        <v>0.29370335161487765</v>
      </c>
      <c r="T50" s="49"/>
    </row>
    <row r="51" spans="2:20" ht="14.5" customHeight="1" thickBot="1" x14ac:dyDescent="0.25">
      <c r="B51" s="22" t="s">
        <v>40</v>
      </c>
      <c r="C51" s="47">
        <f t="shared" ref="C51:P51" si="16">C38/C$39</f>
        <v>0.44510581719834208</v>
      </c>
      <c r="D51" s="32">
        <f t="shared" si="16"/>
        <v>0.46705837662087757</v>
      </c>
      <c r="E51" s="32">
        <f t="shared" si="16"/>
        <v>0.64054979143690993</v>
      </c>
      <c r="F51" s="32">
        <f t="shared" si="16"/>
        <v>0.62824784448152449</v>
      </c>
      <c r="G51" s="32">
        <f t="shared" si="16"/>
        <v>0.60393768199551745</v>
      </c>
      <c r="H51" s="32">
        <f t="shared" si="16"/>
        <v>0.62323320641819024</v>
      </c>
      <c r="I51" s="32">
        <f t="shared" si="16"/>
        <v>0.60113270330983148</v>
      </c>
      <c r="J51" s="32">
        <f t="shared" si="16"/>
        <v>0.62813030396447467</v>
      </c>
      <c r="K51" s="32">
        <f t="shared" si="16"/>
        <v>0.15496893184343591</v>
      </c>
      <c r="L51" s="32">
        <f t="shared" si="16"/>
        <v>0.21030505843376807</v>
      </c>
      <c r="M51" s="32">
        <f t="shared" si="16"/>
        <v>0.24253562503633297</v>
      </c>
      <c r="N51" s="32">
        <f t="shared" si="16"/>
        <v>0.11180339887498948</v>
      </c>
      <c r="O51" s="32">
        <f t="shared" si="16"/>
        <v>0.29934217004462482</v>
      </c>
      <c r="P51" s="48">
        <f t="shared" si="16"/>
        <v>0.15927731705296419</v>
      </c>
      <c r="Q51" s="87">
        <f t="shared" si="9"/>
        <v>0.56582792368154378</v>
      </c>
      <c r="R51" s="101">
        <f t="shared" si="10"/>
        <v>0.19836250853141194</v>
      </c>
      <c r="S51" s="97">
        <f t="shared" si="11"/>
        <v>0.43721502837899751</v>
      </c>
      <c r="T51" s="49"/>
    </row>
    <row r="52" spans="2:20" ht="19.75" customHeight="1" thickBot="1" x14ac:dyDescent="0.25">
      <c r="B52" s="51" t="s">
        <v>51</v>
      </c>
      <c r="C52" s="88">
        <f t="shared" ref="C52:P52" si="17">C14</f>
        <v>0.1</v>
      </c>
      <c r="D52" s="89">
        <f t="shared" si="17"/>
        <v>0.1</v>
      </c>
      <c r="E52" s="89">
        <f t="shared" si="17"/>
        <v>0.05</v>
      </c>
      <c r="F52" s="89">
        <f t="shared" si="17"/>
        <v>0.05</v>
      </c>
      <c r="G52" s="89">
        <f t="shared" si="17"/>
        <v>0.1</v>
      </c>
      <c r="H52" s="89">
        <f t="shared" si="17"/>
        <v>0.05</v>
      </c>
      <c r="I52" s="89">
        <f t="shared" si="17"/>
        <v>0.15</v>
      </c>
      <c r="J52" s="89">
        <f t="shared" si="17"/>
        <v>0.05</v>
      </c>
      <c r="K52" s="90">
        <f t="shared" si="17"/>
        <v>0.05</v>
      </c>
      <c r="L52" s="90">
        <f t="shared" si="17"/>
        <v>0.1</v>
      </c>
      <c r="M52" s="89">
        <f t="shared" si="17"/>
        <v>0.05</v>
      </c>
      <c r="N52" s="89">
        <f t="shared" si="17"/>
        <v>0.05</v>
      </c>
      <c r="O52" s="90">
        <f t="shared" si="17"/>
        <v>0.05</v>
      </c>
      <c r="P52" s="91">
        <f t="shared" si="17"/>
        <v>0.05</v>
      </c>
      <c r="Q52" s="141">
        <f>SUM(C52:P52)</f>
        <v>1.0000000000000002</v>
      </c>
      <c r="R52" s="142"/>
      <c r="S52" s="143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B40:P40"/>
    <mergeCell ref="B43:B45"/>
    <mergeCell ref="C43:J43"/>
    <mergeCell ref="K43:P43"/>
    <mergeCell ref="Q44:Q45"/>
    <mergeCell ref="R44:R45"/>
    <mergeCell ref="S44:S45"/>
    <mergeCell ref="Q52:S52"/>
    <mergeCell ref="B30:B32"/>
    <mergeCell ref="C30:J30"/>
    <mergeCell ref="K30:P30"/>
    <mergeCell ref="B15:P15"/>
    <mergeCell ref="B5:P5"/>
    <mergeCell ref="B17:P17"/>
    <mergeCell ref="C18:J18"/>
    <mergeCell ref="K18:P18"/>
    <mergeCell ref="B18:B20"/>
    <mergeCell ref="K6:P6"/>
    <mergeCell ref="K7:P7"/>
    <mergeCell ref="K8:P8"/>
    <mergeCell ref="C6:J6"/>
    <mergeCell ref="G9:J9"/>
    <mergeCell ref="C9:F9"/>
    <mergeCell ref="C2:P2"/>
    <mergeCell ref="C3:P3"/>
    <mergeCell ref="B29:P29"/>
    <mergeCell ref="B27:P27"/>
    <mergeCell ref="B42:S42"/>
    <mergeCell ref="C7:J7"/>
    <mergeCell ref="K9:P9"/>
    <mergeCell ref="K10:P10"/>
    <mergeCell ref="C11:D11"/>
    <mergeCell ref="C10:D10"/>
    <mergeCell ref="E10:F10"/>
    <mergeCell ref="E11:F11"/>
    <mergeCell ref="G10:H10"/>
    <mergeCell ref="G11:H11"/>
    <mergeCell ref="I10:J10"/>
    <mergeCell ref="I11:J11"/>
    <mergeCell ref="K11:P11"/>
    <mergeCell ref="C8:F8"/>
    <mergeCell ref="G8:J8"/>
  </mergeCells>
  <conditionalFormatting sqref="Q46:R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B1:T55"/>
  <sheetViews>
    <sheetView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.1640625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61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1</v>
      </c>
      <c r="C7" s="102">
        <v>0.7</v>
      </c>
      <c r="D7" s="103"/>
      <c r="E7" s="103"/>
      <c r="F7" s="103"/>
      <c r="G7" s="103"/>
      <c r="H7" s="103"/>
      <c r="I7" s="103"/>
      <c r="J7" s="104"/>
      <c r="K7" s="103">
        <v>0.3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1</v>
      </c>
      <c r="C9" s="102">
        <v>0.3</v>
      </c>
      <c r="D9" s="103"/>
      <c r="E9" s="103"/>
      <c r="F9" s="104"/>
      <c r="G9" s="103">
        <v>0.4</v>
      </c>
      <c r="H9" s="103"/>
      <c r="I9" s="103"/>
      <c r="J9" s="104"/>
      <c r="K9" s="103">
        <v>0.3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1</v>
      </c>
      <c r="C11" s="102">
        <v>0.2</v>
      </c>
      <c r="D11" s="104"/>
      <c r="E11" s="103">
        <v>0.1</v>
      </c>
      <c r="F11" s="104"/>
      <c r="G11" s="137">
        <v>0.15</v>
      </c>
      <c r="H11" s="104"/>
      <c r="I11" s="103">
        <v>0.25</v>
      </c>
      <c r="J11" s="104"/>
      <c r="K11" s="103">
        <v>0.3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1</v>
      </c>
      <c r="C14" s="9">
        <v>7.0000000000000007E-2</v>
      </c>
      <c r="D14" s="10">
        <v>0.13</v>
      </c>
      <c r="E14" s="11">
        <v>0.04</v>
      </c>
      <c r="F14" s="10">
        <v>0.06</v>
      </c>
      <c r="G14" s="12">
        <v>0.1</v>
      </c>
      <c r="H14" s="13">
        <v>0.05</v>
      </c>
      <c r="I14" s="12">
        <v>0.13</v>
      </c>
      <c r="J14" s="13">
        <v>0.12</v>
      </c>
      <c r="K14" s="12">
        <v>0.02</v>
      </c>
      <c r="L14" s="14">
        <v>0.05</v>
      </c>
      <c r="M14" s="14">
        <v>0.1</v>
      </c>
      <c r="N14" s="14">
        <v>0.1</v>
      </c>
      <c r="O14" s="14">
        <v>0.01</v>
      </c>
      <c r="P14" s="62">
        <v>0.02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0">C12</f>
        <v>For whole sample</v>
      </c>
      <c r="D19" s="58" t="str">
        <f t="shared" si="0"/>
        <v>For sensitive subgroups</v>
      </c>
      <c r="E19" s="58" t="str">
        <f t="shared" si="0"/>
        <v>For whole sample</v>
      </c>
      <c r="F19" s="58" t="str">
        <f t="shared" si="0"/>
        <v>For sensitive subgroups</v>
      </c>
      <c r="G19" s="58" t="str">
        <f t="shared" si="0"/>
        <v>In peak hours</v>
      </c>
      <c r="H19" s="58" t="str">
        <f t="shared" si="0"/>
        <v>In off-peak hours</v>
      </c>
      <c r="I19" s="58" t="str">
        <f t="shared" si="0"/>
        <v>In peak hours</v>
      </c>
      <c r="J19" s="58" t="str">
        <f t="shared" si="0"/>
        <v>In off-peak hours</v>
      </c>
      <c r="K19" s="59" t="str">
        <f t="shared" si="0"/>
        <v>Monetary cost of travel</v>
      </c>
      <c r="L19" s="59" t="str">
        <f t="shared" si="0"/>
        <v>Risk unpunct./disservice</v>
      </c>
      <c r="M19" s="58" t="str">
        <f t="shared" si="0"/>
        <v>Percept. on-board safety</v>
      </c>
      <c r="N19" s="58" t="str">
        <f t="shared" si="0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2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3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1">C12</f>
        <v>For whole sample</v>
      </c>
      <c r="D31" s="58" t="str">
        <f t="shared" si="1"/>
        <v>For sensitive subgroups</v>
      </c>
      <c r="E31" s="58" t="str">
        <f t="shared" si="1"/>
        <v>For whole sample</v>
      </c>
      <c r="F31" s="58" t="str">
        <f t="shared" si="1"/>
        <v>For sensitive subgroups</v>
      </c>
      <c r="G31" s="58" t="str">
        <f t="shared" si="1"/>
        <v>In peak hours</v>
      </c>
      <c r="H31" s="58" t="str">
        <f t="shared" si="1"/>
        <v>In off-peak hours</v>
      </c>
      <c r="I31" s="58" t="str">
        <f t="shared" si="1"/>
        <v>In peak hours</v>
      </c>
      <c r="J31" s="58" t="str">
        <f t="shared" si="1"/>
        <v>In off-peak hours</v>
      </c>
      <c r="K31" s="59" t="str">
        <f t="shared" si="1"/>
        <v>Monetary cost of travel</v>
      </c>
      <c r="L31" s="59" t="str">
        <f t="shared" si="1"/>
        <v>Risk unpunct./disservice</v>
      </c>
      <c r="M31" s="58" t="str">
        <f t="shared" si="1"/>
        <v>Percept. on-board safety</v>
      </c>
      <c r="N31" s="58" t="str">
        <f t="shared" si="1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2">C21</f>
        <v>0.5</v>
      </c>
      <c r="D33" s="37">
        <f t="shared" si="2"/>
        <v>0.47166666666666668</v>
      </c>
      <c r="E33" s="37">
        <f t="shared" si="2"/>
        <v>0.94</v>
      </c>
      <c r="F33" s="37">
        <f t="shared" si="2"/>
        <v>1.0900000000000001</v>
      </c>
      <c r="G33" s="37">
        <f t="shared" si="2"/>
        <v>14</v>
      </c>
      <c r="H33" s="37">
        <f t="shared" si="2"/>
        <v>23.91</v>
      </c>
      <c r="I33" s="37">
        <f t="shared" si="2"/>
        <v>26.41</v>
      </c>
      <c r="J33" s="37">
        <f t="shared" si="2"/>
        <v>26.41</v>
      </c>
      <c r="K33" s="37">
        <f t="shared" ref="K33:L38" si="3">1/K21</f>
        <v>1</v>
      </c>
      <c r="L33" s="37">
        <f t="shared" si="3"/>
        <v>1</v>
      </c>
      <c r="M33" s="36">
        <f t="shared" ref="M33:N38" si="4">M21</f>
        <v>5</v>
      </c>
      <c r="N33" s="36">
        <f t="shared" si="4"/>
        <v>5</v>
      </c>
      <c r="O33" s="28">
        <f t="shared" ref="O33:P38" si="5">1/O21</f>
        <v>1</v>
      </c>
      <c r="P33" s="45">
        <f t="shared" si="5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2"/>
        <v>0.65</v>
      </c>
      <c r="D34" s="24">
        <f t="shared" si="2"/>
        <v>0.54833333333333334</v>
      </c>
      <c r="E34" s="24">
        <f t="shared" si="2"/>
        <v>2.02</v>
      </c>
      <c r="F34" s="24">
        <f t="shared" si="2"/>
        <v>1.8133333333333332</v>
      </c>
      <c r="G34" s="24">
        <f t="shared" si="2"/>
        <v>17.63</v>
      </c>
      <c r="H34" s="24">
        <f t="shared" si="2"/>
        <v>26.78</v>
      </c>
      <c r="I34" s="24">
        <f t="shared" si="2"/>
        <v>32.700000000000003</v>
      </c>
      <c r="J34" s="24">
        <f t="shared" si="2"/>
        <v>34.9</v>
      </c>
      <c r="K34" s="24">
        <f t="shared" si="3"/>
        <v>1</v>
      </c>
      <c r="L34" s="24">
        <f t="shared" si="3"/>
        <v>1</v>
      </c>
      <c r="M34" s="25">
        <f t="shared" si="4"/>
        <v>5</v>
      </c>
      <c r="N34" s="25">
        <f t="shared" si="4"/>
        <v>5</v>
      </c>
      <c r="O34" s="24">
        <f t="shared" si="5"/>
        <v>1</v>
      </c>
      <c r="P34" s="46">
        <f t="shared" si="5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2"/>
        <v>0.83</v>
      </c>
      <c r="D35" s="24">
        <f t="shared" si="2"/>
        <v>0.79833333333333334</v>
      </c>
      <c r="E35" s="24">
        <f t="shared" si="2"/>
        <v>32.69</v>
      </c>
      <c r="F35" s="24">
        <f t="shared" si="2"/>
        <v>31.751666666666665</v>
      </c>
      <c r="G35" s="24">
        <f t="shared" si="2"/>
        <v>91.51</v>
      </c>
      <c r="H35" s="24">
        <f t="shared" si="2"/>
        <v>125.14</v>
      </c>
      <c r="I35" s="24">
        <f t="shared" si="2"/>
        <v>227.06</v>
      </c>
      <c r="J35" s="24">
        <f t="shared" si="2"/>
        <v>261.3</v>
      </c>
      <c r="K35" s="24">
        <f t="shared" si="3"/>
        <v>0.2</v>
      </c>
      <c r="L35" s="24">
        <f t="shared" si="3"/>
        <v>0.2</v>
      </c>
      <c r="M35" s="25">
        <f t="shared" si="4"/>
        <v>1</v>
      </c>
      <c r="N35" s="25">
        <f t="shared" si="4"/>
        <v>4</v>
      </c>
      <c r="O35" s="24">
        <f t="shared" si="5"/>
        <v>0.2</v>
      </c>
      <c r="P35" s="46">
        <f t="shared" si="5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2"/>
        <v>0.72</v>
      </c>
      <c r="D36" s="24">
        <f t="shared" si="2"/>
        <v>0.69333333333333336</v>
      </c>
      <c r="E36" s="24">
        <f t="shared" si="2"/>
        <v>16.3</v>
      </c>
      <c r="F36" s="24">
        <f t="shared" si="2"/>
        <v>14.896666666666668</v>
      </c>
      <c r="G36" s="24">
        <f t="shared" si="2"/>
        <v>50.36</v>
      </c>
      <c r="H36" s="24">
        <f t="shared" si="2"/>
        <v>73.61</v>
      </c>
      <c r="I36" s="24">
        <f t="shared" si="2"/>
        <v>120.14</v>
      </c>
      <c r="J36" s="24">
        <f t="shared" si="2"/>
        <v>141.93</v>
      </c>
      <c r="K36" s="24">
        <f t="shared" si="3"/>
        <v>0.5</v>
      </c>
      <c r="L36" s="24">
        <f t="shared" si="3"/>
        <v>0.5</v>
      </c>
      <c r="M36" s="25">
        <f t="shared" si="4"/>
        <v>2</v>
      </c>
      <c r="N36" s="25">
        <f t="shared" si="4"/>
        <v>2</v>
      </c>
      <c r="O36" s="24">
        <f t="shared" si="5"/>
        <v>0.5</v>
      </c>
      <c r="P36" s="46">
        <f t="shared" si="5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2"/>
        <v>0.63</v>
      </c>
      <c r="D37" s="24">
        <f t="shared" si="2"/>
        <v>0.59</v>
      </c>
      <c r="E37" s="24">
        <f t="shared" si="2"/>
        <v>9.07</v>
      </c>
      <c r="F37" s="24">
        <f t="shared" si="2"/>
        <v>8.8983333333333334</v>
      </c>
      <c r="G37" s="24">
        <f t="shared" si="2"/>
        <v>60.2</v>
      </c>
      <c r="H37" s="24">
        <f t="shared" si="2"/>
        <v>108.63</v>
      </c>
      <c r="I37" s="24">
        <f t="shared" si="2"/>
        <v>60.49</v>
      </c>
      <c r="J37" s="24">
        <f t="shared" si="2"/>
        <v>70.8</v>
      </c>
      <c r="K37" s="24">
        <f t="shared" si="3"/>
        <v>0.5</v>
      </c>
      <c r="L37" s="24">
        <f t="shared" si="3"/>
        <v>0.33333333333333331</v>
      </c>
      <c r="M37" s="25">
        <f t="shared" si="4"/>
        <v>3</v>
      </c>
      <c r="N37" s="25">
        <f t="shared" si="4"/>
        <v>3</v>
      </c>
      <c r="O37" s="24">
        <f t="shared" si="5"/>
        <v>0.5</v>
      </c>
      <c r="P37" s="46">
        <f t="shared" si="5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2"/>
        <v>0.75</v>
      </c>
      <c r="D38" s="39">
        <f t="shared" si="2"/>
        <v>0.745</v>
      </c>
      <c r="E38" s="39">
        <f t="shared" si="2"/>
        <v>31.45</v>
      </c>
      <c r="F38" s="39">
        <f t="shared" si="2"/>
        <v>29.268333333333334</v>
      </c>
      <c r="G38" s="39">
        <f t="shared" si="2"/>
        <v>92.93</v>
      </c>
      <c r="H38" s="39">
        <f t="shared" si="2"/>
        <v>147.31</v>
      </c>
      <c r="I38" s="39">
        <f t="shared" si="2"/>
        <v>201.02</v>
      </c>
      <c r="J38" s="39">
        <f t="shared" si="2"/>
        <v>249.27</v>
      </c>
      <c r="K38" s="39">
        <f t="shared" si="3"/>
        <v>0.25</v>
      </c>
      <c r="L38" s="39">
        <f t="shared" si="3"/>
        <v>0.33333333333333331</v>
      </c>
      <c r="M38" s="43">
        <f t="shared" si="4"/>
        <v>2</v>
      </c>
      <c r="N38" s="43">
        <f t="shared" si="4"/>
        <v>1</v>
      </c>
      <c r="O38" s="32">
        <f t="shared" si="5"/>
        <v>0.5</v>
      </c>
      <c r="P38" s="48">
        <f t="shared" si="5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6">SQRT(C33^2+C34^2+C35^2+C36^2+C37^2+C38^2)</f>
        <v>1.6849925815860436</v>
      </c>
      <c r="D39" s="68">
        <f t="shared" si="6"/>
        <v>1.5950896874819018</v>
      </c>
      <c r="E39" s="68">
        <f t="shared" si="6"/>
        <v>49.098447022283707</v>
      </c>
      <c r="F39" s="68">
        <f t="shared" si="6"/>
        <v>46.58724035493934</v>
      </c>
      <c r="G39" s="68">
        <f t="shared" si="6"/>
        <v>153.87349186913255</v>
      </c>
      <c r="H39" s="68">
        <f t="shared" si="6"/>
        <v>236.36417071967571</v>
      </c>
      <c r="I39" s="68">
        <f t="shared" si="6"/>
        <v>334.40203617801131</v>
      </c>
      <c r="J39" s="68">
        <f t="shared" si="6"/>
        <v>396.84441019119822</v>
      </c>
      <c r="K39" s="64">
        <f t="shared" si="6"/>
        <v>1.6132265804901678</v>
      </c>
      <c r="L39" s="64">
        <f t="shared" si="6"/>
        <v>1.5849991237291654</v>
      </c>
      <c r="M39" s="68">
        <f t="shared" si="6"/>
        <v>8.2462112512353212</v>
      </c>
      <c r="N39" s="68">
        <f t="shared" si="6"/>
        <v>8.9442719099991592</v>
      </c>
      <c r="O39" s="64">
        <f t="shared" si="6"/>
        <v>1.6703293088490065</v>
      </c>
      <c r="P39" s="65">
        <f t="shared" si="6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4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7">C19</f>
        <v>For whole sample</v>
      </c>
      <c r="D44" s="58" t="str">
        <f t="shared" si="7"/>
        <v>For sensitive subgroups</v>
      </c>
      <c r="E44" s="58" t="str">
        <f t="shared" si="7"/>
        <v>For whole sample</v>
      </c>
      <c r="F44" s="58" t="str">
        <f t="shared" si="7"/>
        <v>For sensitive subgroups</v>
      </c>
      <c r="G44" s="58" t="str">
        <f t="shared" si="7"/>
        <v>In peak hours</v>
      </c>
      <c r="H44" s="58" t="str">
        <f t="shared" si="7"/>
        <v>In off-peak hours</v>
      </c>
      <c r="I44" s="58" t="str">
        <f t="shared" si="7"/>
        <v>In peak hours</v>
      </c>
      <c r="J44" s="58" t="str">
        <f t="shared" si="7"/>
        <v>In off-peak hours</v>
      </c>
      <c r="K44" s="59" t="str">
        <f t="shared" si="7"/>
        <v>Monetary cost of travel</v>
      </c>
      <c r="L44" s="59" t="str">
        <f t="shared" si="7"/>
        <v>Risk unpunct./disservice</v>
      </c>
      <c r="M44" s="58" t="str">
        <f t="shared" si="7"/>
        <v>Percept. on-board safety</v>
      </c>
      <c r="N44" s="58" t="str">
        <f t="shared" si="7"/>
        <v>Understandability for users</v>
      </c>
      <c r="O44" s="59" t="s">
        <v>53</v>
      </c>
      <c r="P44" s="63" t="s">
        <v>54</v>
      </c>
      <c r="Q44" s="133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34"/>
      <c r="R45" s="132"/>
      <c r="S45" s="136"/>
    </row>
    <row r="46" spans="2:20" ht="14.5" customHeight="1" x14ac:dyDescent="0.2">
      <c r="B46" s="21" t="s">
        <v>46</v>
      </c>
      <c r="C46" s="38">
        <f t="shared" ref="C46:P51" si="8">C33/C$39</f>
        <v>0.29673721146556137</v>
      </c>
      <c r="D46" s="28">
        <f t="shared" si="8"/>
        <v>0.29569915119397844</v>
      </c>
      <c r="E46" s="28">
        <f t="shared" si="8"/>
        <v>1.9145208392708911E-2</v>
      </c>
      <c r="F46" s="28">
        <f t="shared" si="8"/>
        <v>2.339696431244901E-2</v>
      </c>
      <c r="G46" s="28">
        <f t="shared" si="8"/>
        <v>9.0983832432338776E-2</v>
      </c>
      <c r="H46" s="28">
        <f t="shared" si="8"/>
        <v>0.10115746361726242</v>
      </c>
      <c r="I46" s="28">
        <f t="shared" si="8"/>
        <v>7.8976791833711313E-2</v>
      </c>
      <c r="J46" s="28">
        <f t="shared" si="8"/>
        <v>6.6550011343931376E-2</v>
      </c>
      <c r="K46" s="28">
        <f t="shared" si="8"/>
        <v>0.61987572737374363</v>
      </c>
      <c r="L46" s="28">
        <f t="shared" si="8"/>
        <v>0.63091517530130425</v>
      </c>
      <c r="M46" s="28">
        <f t="shared" si="8"/>
        <v>0.60633906259083248</v>
      </c>
      <c r="N46" s="28">
        <f t="shared" si="8"/>
        <v>0.55901699437494745</v>
      </c>
      <c r="O46" s="28">
        <f t="shared" si="8"/>
        <v>0.59868434008924964</v>
      </c>
      <c r="P46" s="45">
        <f t="shared" si="8"/>
        <v>0.63710926821185676</v>
      </c>
      <c r="Q46" s="85">
        <f t="shared" ref="Q46:Q51" si="9">(C46*$C$52+D46*$D$52+E46*$E$52+F46*$F$52+G46*$G$52+H46*$H$52+I46*$I$52+J46*$J$52)/SUM($C$52:$J$52)</f>
        <v>0.13398765910859003</v>
      </c>
      <c r="R46" s="99">
        <f t="shared" ref="R46:R51" si="10">(K46*$K$52+L46*$L$52+M46*$M$52+N46*$N$52+O46*$O$52+P46*$P$52)/SUM($K$52:$P$52)</f>
        <v>0.59735969258082555</v>
      </c>
      <c r="S46" s="95">
        <f t="shared" ref="S46:S51" si="11">(C46*$C$52+D46*$D$52+E46*$E$52+F46*$F$52+G46*$G$52+H46*$H$52+I46*$I$52+J46*$J$52+K46*$K$52+L46*$L$52+M46*$M$52+N46*$N$52+O46*$O$52+P46*$P$52)/SUM($C$52:$P$52)</f>
        <v>0.27299926915026079</v>
      </c>
      <c r="T46" s="49"/>
    </row>
    <row r="47" spans="2:20" ht="14.5" customHeight="1" x14ac:dyDescent="0.2">
      <c r="B47" s="22" t="s">
        <v>36</v>
      </c>
      <c r="C47" s="41">
        <f t="shared" si="8"/>
        <v>0.3857583749052298</v>
      </c>
      <c r="D47" s="24">
        <f t="shared" si="8"/>
        <v>0.34376332417957206</v>
      </c>
      <c r="E47" s="24">
        <f t="shared" si="8"/>
        <v>4.1141830801353196E-2</v>
      </c>
      <c r="F47" s="24">
        <f t="shared" si="8"/>
        <v>3.8923390171168991E-2</v>
      </c>
      <c r="G47" s="24">
        <f t="shared" si="8"/>
        <v>0.11457464041300948</v>
      </c>
      <c r="H47" s="24">
        <f t="shared" si="8"/>
        <v>0.11329974385906683</v>
      </c>
      <c r="I47" s="24">
        <f t="shared" si="8"/>
        <v>9.7786485913001139E-2</v>
      </c>
      <c r="J47" s="24">
        <f t="shared" si="8"/>
        <v>8.7943786289405718E-2</v>
      </c>
      <c r="K47" s="24">
        <f t="shared" si="8"/>
        <v>0.61987572737374363</v>
      </c>
      <c r="L47" s="24">
        <f t="shared" si="8"/>
        <v>0.63091517530130425</v>
      </c>
      <c r="M47" s="24">
        <f t="shared" si="8"/>
        <v>0.60633906259083248</v>
      </c>
      <c r="N47" s="24">
        <f t="shared" si="8"/>
        <v>0.55901699437494745</v>
      </c>
      <c r="O47" s="24">
        <f t="shared" si="8"/>
        <v>0.59868434008924964</v>
      </c>
      <c r="P47" s="46">
        <f t="shared" si="8"/>
        <v>0.63710926821185676</v>
      </c>
      <c r="Q47" s="86">
        <f t="shared" si="9"/>
        <v>0.1658019196952969</v>
      </c>
      <c r="R47" s="100">
        <f t="shared" si="10"/>
        <v>0.59735969258082555</v>
      </c>
      <c r="S47" s="96">
        <f t="shared" si="11"/>
        <v>0.29526925156095557</v>
      </c>
      <c r="T47" s="49"/>
    </row>
    <row r="48" spans="2:20" ht="14.5" customHeight="1" x14ac:dyDescent="0.2">
      <c r="B48" s="22" t="s">
        <v>37</v>
      </c>
      <c r="C48" s="41">
        <f t="shared" si="8"/>
        <v>0.49258377103283185</v>
      </c>
      <c r="D48" s="24">
        <f t="shared" si="8"/>
        <v>0.50049432304563835</v>
      </c>
      <c r="E48" s="24">
        <f t="shared" si="8"/>
        <v>0.66580517272090889</v>
      </c>
      <c r="F48" s="24">
        <f t="shared" si="8"/>
        <v>0.68155285491814377</v>
      </c>
      <c r="G48" s="24">
        <f t="shared" si="8"/>
        <v>0.59470932184880876</v>
      </c>
      <c r="H48" s="24">
        <f t="shared" si="8"/>
        <v>0.52943726462000085</v>
      </c>
      <c r="I48" s="24">
        <f t="shared" si="8"/>
        <v>0.67900304255064337</v>
      </c>
      <c r="J48" s="24">
        <f t="shared" si="8"/>
        <v>0.65844445150205488</v>
      </c>
      <c r="K48" s="24">
        <f t="shared" si="8"/>
        <v>0.12397514547474875</v>
      </c>
      <c r="L48" s="24">
        <f t="shared" si="8"/>
        <v>0.12618303506026085</v>
      </c>
      <c r="M48" s="24">
        <f t="shared" si="8"/>
        <v>0.12126781251816648</v>
      </c>
      <c r="N48" s="24">
        <f t="shared" si="8"/>
        <v>0.44721359549995793</v>
      </c>
      <c r="O48" s="24">
        <f t="shared" si="8"/>
        <v>0.11973686801784994</v>
      </c>
      <c r="P48" s="46">
        <f t="shared" si="8"/>
        <v>0.12742185364237135</v>
      </c>
      <c r="Q48" s="86">
        <f t="shared" si="9"/>
        <v>0.60042432757123898</v>
      </c>
      <c r="R48" s="100">
        <f t="shared" si="10"/>
        <v>0.23127533739115461</v>
      </c>
      <c r="S48" s="96">
        <f t="shared" si="11"/>
        <v>0.48967963051721375</v>
      </c>
      <c r="T48" s="49"/>
    </row>
    <row r="49" spans="2:20" ht="14.5" customHeight="1" x14ac:dyDescent="0.2">
      <c r="B49" s="22" t="s">
        <v>39</v>
      </c>
      <c r="C49" s="41">
        <f t="shared" si="8"/>
        <v>0.42730158451040839</v>
      </c>
      <c r="D49" s="24">
        <f t="shared" si="8"/>
        <v>0.43466730352189054</v>
      </c>
      <c r="E49" s="24">
        <f t="shared" si="8"/>
        <v>0.33198606042676099</v>
      </c>
      <c r="F49" s="24">
        <f t="shared" si="8"/>
        <v>0.31975851227013646</v>
      </c>
      <c r="G49" s="24">
        <f t="shared" si="8"/>
        <v>0.32728184294947005</v>
      </c>
      <c r="H49" s="24">
        <f t="shared" si="8"/>
        <v>0.31142621902411904</v>
      </c>
      <c r="I49" s="24">
        <f t="shared" si="8"/>
        <v>0.35926814732684881</v>
      </c>
      <c r="J49" s="24">
        <f t="shared" si="8"/>
        <v>0.35764646384112764</v>
      </c>
      <c r="K49" s="24">
        <f t="shared" si="8"/>
        <v>0.30993786368687182</v>
      </c>
      <c r="L49" s="24">
        <f t="shared" si="8"/>
        <v>0.31545758765065213</v>
      </c>
      <c r="M49" s="24">
        <f t="shared" si="8"/>
        <v>0.24253562503633297</v>
      </c>
      <c r="N49" s="24">
        <f t="shared" si="8"/>
        <v>0.22360679774997896</v>
      </c>
      <c r="O49" s="24">
        <f t="shared" si="8"/>
        <v>0.29934217004462482</v>
      </c>
      <c r="P49" s="46">
        <f t="shared" si="8"/>
        <v>0.21236975607061892</v>
      </c>
      <c r="Q49" s="86">
        <f t="shared" si="9"/>
        <v>0.36686391940918794</v>
      </c>
      <c r="R49" s="100">
        <f t="shared" si="10"/>
        <v>0.25275565252253285</v>
      </c>
      <c r="S49" s="96">
        <f t="shared" si="11"/>
        <v>0.33263143934319139</v>
      </c>
      <c r="T49" s="49"/>
    </row>
    <row r="50" spans="2:20" ht="14.5" customHeight="1" x14ac:dyDescent="0.2">
      <c r="B50" s="22" t="s">
        <v>38</v>
      </c>
      <c r="C50" s="41">
        <f t="shared" si="8"/>
        <v>0.37388888644660734</v>
      </c>
      <c r="D50" s="24">
        <f t="shared" si="8"/>
        <v>0.36988515732391647</v>
      </c>
      <c r="E50" s="24">
        <f t="shared" si="8"/>
        <v>0.18473089374667007</v>
      </c>
      <c r="F50" s="24">
        <f t="shared" si="8"/>
        <v>0.19100365820208756</v>
      </c>
      <c r="G50" s="24">
        <f t="shared" si="8"/>
        <v>0.39123047945905676</v>
      </c>
      <c r="H50" s="24">
        <f t="shared" si="8"/>
        <v>0.45958742253212953</v>
      </c>
      <c r="I50" s="24">
        <f t="shared" si="8"/>
        <v>0.1808900468769859</v>
      </c>
      <c r="J50" s="24">
        <f t="shared" si="8"/>
        <v>0.1784074518421182</v>
      </c>
      <c r="K50" s="24">
        <f t="shared" si="8"/>
        <v>0.30993786368687182</v>
      </c>
      <c r="L50" s="24">
        <f t="shared" si="8"/>
        <v>0.21030505843376807</v>
      </c>
      <c r="M50" s="24">
        <f t="shared" si="8"/>
        <v>0.36380343755449945</v>
      </c>
      <c r="N50" s="24">
        <f t="shared" si="8"/>
        <v>0.33541019662496846</v>
      </c>
      <c r="O50" s="24">
        <f t="shared" si="8"/>
        <v>0.29934217004462482</v>
      </c>
      <c r="P50" s="46">
        <f t="shared" si="8"/>
        <v>0.31855463410592838</v>
      </c>
      <c r="Q50" s="86">
        <f t="shared" si="9"/>
        <v>0.28590538161848311</v>
      </c>
      <c r="R50" s="100">
        <f t="shared" si="10"/>
        <v>0.31999962665312481</v>
      </c>
      <c r="S50" s="96">
        <f t="shared" si="11"/>
        <v>0.29613365512887563</v>
      </c>
      <c r="T50" s="49"/>
    </row>
    <row r="51" spans="2:20" ht="14.5" customHeight="1" thickBot="1" x14ac:dyDescent="0.25">
      <c r="B51" s="22" t="s">
        <v>40</v>
      </c>
      <c r="C51" s="47">
        <f t="shared" si="8"/>
        <v>0.44510581719834208</v>
      </c>
      <c r="D51" s="32">
        <f t="shared" si="8"/>
        <v>0.46705837662087757</v>
      </c>
      <c r="E51" s="32">
        <f t="shared" si="8"/>
        <v>0.64054979143690993</v>
      </c>
      <c r="F51" s="32">
        <f t="shared" si="8"/>
        <v>0.62824784448152449</v>
      </c>
      <c r="G51" s="32">
        <f t="shared" si="8"/>
        <v>0.60393768199551745</v>
      </c>
      <c r="H51" s="32">
        <f t="shared" si="8"/>
        <v>0.62323320641819024</v>
      </c>
      <c r="I51" s="32">
        <f t="shared" si="8"/>
        <v>0.60113270330983148</v>
      </c>
      <c r="J51" s="32">
        <f t="shared" si="8"/>
        <v>0.62813030396447467</v>
      </c>
      <c r="K51" s="32">
        <f t="shared" si="8"/>
        <v>0.15496893184343591</v>
      </c>
      <c r="L51" s="32">
        <f t="shared" si="8"/>
        <v>0.21030505843376807</v>
      </c>
      <c r="M51" s="32">
        <f t="shared" si="8"/>
        <v>0.24253562503633297</v>
      </c>
      <c r="N51" s="32">
        <f t="shared" si="8"/>
        <v>0.11180339887498948</v>
      </c>
      <c r="O51" s="32">
        <f t="shared" si="8"/>
        <v>0.29934217004462482</v>
      </c>
      <c r="P51" s="48">
        <f t="shared" si="8"/>
        <v>0.15927731705296419</v>
      </c>
      <c r="Q51" s="87">
        <f t="shared" si="9"/>
        <v>0.57181453559634599</v>
      </c>
      <c r="R51" s="101">
        <f t="shared" si="10"/>
        <v>0.18409167330398296</v>
      </c>
      <c r="S51" s="97">
        <f t="shared" si="11"/>
        <v>0.45549767690863713</v>
      </c>
      <c r="T51" s="49"/>
    </row>
    <row r="52" spans="2:20" ht="19.75" customHeight="1" thickBot="1" x14ac:dyDescent="0.25">
      <c r="B52" s="51" t="s">
        <v>51</v>
      </c>
      <c r="C52" s="88">
        <f t="shared" ref="C52:P52" si="12">C14</f>
        <v>7.0000000000000007E-2</v>
      </c>
      <c r="D52" s="89">
        <f t="shared" si="12"/>
        <v>0.13</v>
      </c>
      <c r="E52" s="89">
        <f t="shared" si="12"/>
        <v>0.04</v>
      </c>
      <c r="F52" s="89">
        <f t="shared" si="12"/>
        <v>0.06</v>
      </c>
      <c r="G52" s="89">
        <f t="shared" si="12"/>
        <v>0.1</v>
      </c>
      <c r="H52" s="89">
        <f t="shared" si="12"/>
        <v>0.05</v>
      </c>
      <c r="I52" s="89">
        <f t="shared" si="12"/>
        <v>0.13</v>
      </c>
      <c r="J52" s="89">
        <f t="shared" si="12"/>
        <v>0.12</v>
      </c>
      <c r="K52" s="90">
        <f t="shared" si="12"/>
        <v>0.02</v>
      </c>
      <c r="L52" s="90">
        <f t="shared" si="12"/>
        <v>0.05</v>
      </c>
      <c r="M52" s="89">
        <f t="shared" si="12"/>
        <v>0.1</v>
      </c>
      <c r="N52" s="89">
        <f t="shared" si="12"/>
        <v>0.1</v>
      </c>
      <c r="O52" s="90">
        <f t="shared" si="12"/>
        <v>0.01</v>
      </c>
      <c r="P52" s="91">
        <f t="shared" si="12"/>
        <v>0.02</v>
      </c>
      <c r="Q52" s="128">
        <f>SUM(C52:P52)</f>
        <v>1</v>
      </c>
      <c r="R52" s="129"/>
      <c r="S52" s="130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Q52:S52"/>
    <mergeCell ref="B43:B45"/>
    <mergeCell ref="C43:J43"/>
    <mergeCell ref="K43:P43"/>
    <mergeCell ref="Q44:Q45"/>
    <mergeCell ref="R44:R45"/>
    <mergeCell ref="S44:S45"/>
    <mergeCell ref="B42:S42"/>
    <mergeCell ref="B15:P15"/>
    <mergeCell ref="B17:P17"/>
    <mergeCell ref="B18:B20"/>
    <mergeCell ref="C18:J18"/>
    <mergeCell ref="K18:P18"/>
    <mergeCell ref="B27:P27"/>
    <mergeCell ref="B29:P29"/>
    <mergeCell ref="B30:B32"/>
    <mergeCell ref="C30:J30"/>
    <mergeCell ref="K30:P30"/>
    <mergeCell ref="B40:P40"/>
    <mergeCell ref="C10:D10"/>
    <mergeCell ref="E10:F10"/>
    <mergeCell ref="G10:H10"/>
    <mergeCell ref="I10:J10"/>
    <mergeCell ref="K10:P10"/>
    <mergeCell ref="C11:D11"/>
    <mergeCell ref="E11:F11"/>
    <mergeCell ref="G11:H11"/>
    <mergeCell ref="I11:J11"/>
    <mergeCell ref="K11:P11"/>
    <mergeCell ref="C8:F8"/>
    <mergeCell ref="G8:J8"/>
    <mergeCell ref="K8:P8"/>
    <mergeCell ref="C9:F9"/>
    <mergeCell ref="G9:J9"/>
    <mergeCell ref="K9:P9"/>
    <mergeCell ref="C7:J7"/>
    <mergeCell ref="K7:P7"/>
    <mergeCell ref="C2:P2"/>
    <mergeCell ref="C3:P3"/>
    <mergeCell ref="B5:P5"/>
    <mergeCell ref="C6:J6"/>
    <mergeCell ref="K6:P6"/>
  </mergeCells>
  <conditionalFormatting sqref="Q46:Q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6:R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1:T55"/>
  <sheetViews>
    <sheetView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.1640625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63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1</v>
      </c>
      <c r="C7" s="102">
        <v>0.7</v>
      </c>
      <c r="D7" s="103"/>
      <c r="E7" s="103"/>
      <c r="F7" s="103"/>
      <c r="G7" s="103"/>
      <c r="H7" s="103"/>
      <c r="I7" s="103"/>
      <c r="J7" s="104"/>
      <c r="K7" s="103">
        <v>0.3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1</v>
      </c>
      <c r="C9" s="102">
        <v>0.5</v>
      </c>
      <c r="D9" s="103"/>
      <c r="E9" s="103"/>
      <c r="F9" s="104"/>
      <c r="G9" s="103">
        <v>0.2</v>
      </c>
      <c r="H9" s="103"/>
      <c r="I9" s="103"/>
      <c r="J9" s="104"/>
      <c r="K9" s="103">
        <v>0.3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1</v>
      </c>
      <c r="C11" s="102">
        <v>0.3</v>
      </c>
      <c r="D11" s="104"/>
      <c r="E11" s="103">
        <v>0.2</v>
      </c>
      <c r="F11" s="104"/>
      <c r="G11" s="137">
        <v>0.1</v>
      </c>
      <c r="H11" s="104"/>
      <c r="I11" s="103">
        <v>0.1</v>
      </c>
      <c r="J11" s="104"/>
      <c r="K11" s="103">
        <v>0.3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1.0000000000000002</v>
      </c>
      <c r="C14" s="9">
        <v>0.1</v>
      </c>
      <c r="D14" s="10">
        <v>0.2</v>
      </c>
      <c r="E14" s="11">
        <v>0.05</v>
      </c>
      <c r="F14" s="10">
        <v>0.15</v>
      </c>
      <c r="G14" s="12">
        <v>7.0000000000000007E-2</v>
      </c>
      <c r="H14" s="13">
        <v>0.03</v>
      </c>
      <c r="I14" s="12">
        <v>7.0000000000000007E-2</v>
      </c>
      <c r="J14" s="13">
        <v>0.03</v>
      </c>
      <c r="K14" s="12">
        <v>0.05</v>
      </c>
      <c r="L14" s="14">
        <v>0.13</v>
      </c>
      <c r="M14" s="14">
        <v>0.02</v>
      </c>
      <c r="N14" s="14">
        <v>0.03</v>
      </c>
      <c r="O14" s="14">
        <v>0.05</v>
      </c>
      <c r="P14" s="62">
        <v>0.02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0">C12</f>
        <v>For whole sample</v>
      </c>
      <c r="D19" s="58" t="str">
        <f t="shared" si="0"/>
        <v>For sensitive subgroups</v>
      </c>
      <c r="E19" s="58" t="str">
        <f t="shared" si="0"/>
        <v>For whole sample</v>
      </c>
      <c r="F19" s="58" t="str">
        <f t="shared" si="0"/>
        <v>For sensitive subgroups</v>
      </c>
      <c r="G19" s="58" t="str">
        <f t="shared" si="0"/>
        <v>In peak hours</v>
      </c>
      <c r="H19" s="58" t="str">
        <f t="shared" si="0"/>
        <v>In off-peak hours</v>
      </c>
      <c r="I19" s="58" t="str">
        <f t="shared" si="0"/>
        <v>In peak hours</v>
      </c>
      <c r="J19" s="58" t="str">
        <f t="shared" si="0"/>
        <v>In off-peak hours</v>
      </c>
      <c r="K19" s="59" t="str">
        <f t="shared" si="0"/>
        <v>Monetary cost of travel</v>
      </c>
      <c r="L19" s="59" t="str">
        <f t="shared" si="0"/>
        <v>Risk unpunct./disservice</v>
      </c>
      <c r="M19" s="58" t="str">
        <f t="shared" si="0"/>
        <v>Percept. on-board safety</v>
      </c>
      <c r="N19" s="58" t="str">
        <f t="shared" si="0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2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3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1">C12</f>
        <v>For whole sample</v>
      </c>
      <c r="D31" s="58" t="str">
        <f t="shared" si="1"/>
        <v>For sensitive subgroups</v>
      </c>
      <c r="E31" s="58" t="str">
        <f t="shared" si="1"/>
        <v>For whole sample</v>
      </c>
      <c r="F31" s="58" t="str">
        <f t="shared" si="1"/>
        <v>For sensitive subgroups</v>
      </c>
      <c r="G31" s="58" t="str">
        <f t="shared" si="1"/>
        <v>In peak hours</v>
      </c>
      <c r="H31" s="58" t="str">
        <f t="shared" si="1"/>
        <v>In off-peak hours</v>
      </c>
      <c r="I31" s="58" t="str">
        <f t="shared" si="1"/>
        <v>In peak hours</v>
      </c>
      <c r="J31" s="58" t="str">
        <f t="shared" si="1"/>
        <v>In off-peak hours</v>
      </c>
      <c r="K31" s="59" t="str">
        <f t="shared" si="1"/>
        <v>Monetary cost of travel</v>
      </c>
      <c r="L31" s="59" t="str">
        <f t="shared" si="1"/>
        <v>Risk unpunct./disservice</v>
      </c>
      <c r="M31" s="58" t="str">
        <f t="shared" si="1"/>
        <v>Percept. on-board safety</v>
      </c>
      <c r="N31" s="58" t="str">
        <f t="shared" si="1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2">C21</f>
        <v>0.5</v>
      </c>
      <c r="D33" s="37">
        <f t="shared" si="2"/>
        <v>0.47166666666666668</v>
      </c>
      <c r="E33" s="37">
        <f t="shared" si="2"/>
        <v>0.94</v>
      </c>
      <c r="F33" s="37">
        <f t="shared" si="2"/>
        <v>1.0900000000000001</v>
      </c>
      <c r="G33" s="37">
        <f t="shared" si="2"/>
        <v>14</v>
      </c>
      <c r="H33" s="37">
        <f t="shared" si="2"/>
        <v>23.91</v>
      </c>
      <c r="I33" s="37">
        <f t="shared" si="2"/>
        <v>26.41</v>
      </c>
      <c r="J33" s="37">
        <f t="shared" si="2"/>
        <v>26.41</v>
      </c>
      <c r="K33" s="37">
        <f t="shared" ref="K33:L38" si="3">1/K21</f>
        <v>1</v>
      </c>
      <c r="L33" s="37">
        <f t="shared" si="3"/>
        <v>1</v>
      </c>
      <c r="M33" s="36">
        <f t="shared" ref="M33:N38" si="4">M21</f>
        <v>5</v>
      </c>
      <c r="N33" s="36">
        <f t="shared" si="4"/>
        <v>5</v>
      </c>
      <c r="O33" s="28">
        <f t="shared" ref="O33:P38" si="5">1/O21</f>
        <v>1</v>
      </c>
      <c r="P33" s="45">
        <f t="shared" si="5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2"/>
        <v>0.65</v>
      </c>
      <c r="D34" s="24">
        <f t="shared" si="2"/>
        <v>0.54833333333333334</v>
      </c>
      <c r="E34" s="24">
        <f t="shared" si="2"/>
        <v>2.02</v>
      </c>
      <c r="F34" s="24">
        <f t="shared" si="2"/>
        <v>1.8133333333333332</v>
      </c>
      <c r="G34" s="24">
        <f t="shared" si="2"/>
        <v>17.63</v>
      </c>
      <c r="H34" s="24">
        <f t="shared" si="2"/>
        <v>26.78</v>
      </c>
      <c r="I34" s="24">
        <f t="shared" si="2"/>
        <v>32.700000000000003</v>
      </c>
      <c r="J34" s="24">
        <f t="shared" si="2"/>
        <v>34.9</v>
      </c>
      <c r="K34" s="24">
        <f t="shared" si="3"/>
        <v>1</v>
      </c>
      <c r="L34" s="24">
        <f t="shared" si="3"/>
        <v>1</v>
      </c>
      <c r="M34" s="25">
        <f t="shared" si="4"/>
        <v>5</v>
      </c>
      <c r="N34" s="25">
        <f t="shared" si="4"/>
        <v>5</v>
      </c>
      <c r="O34" s="24">
        <f t="shared" si="5"/>
        <v>1</v>
      </c>
      <c r="P34" s="46">
        <f t="shared" si="5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2"/>
        <v>0.83</v>
      </c>
      <c r="D35" s="24">
        <f t="shared" si="2"/>
        <v>0.79833333333333334</v>
      </c>
      <c r="E35" s="24">
        <f t="shared" si="2"/>
        <v>32.69</v>
      </c>
      <c r="F35" s="24">
        <f t="shared" si="2"/>
        <v>31.751666666666665</v>
      </c>
      <c r="G35" s="24">
        <f t="shared" si="2"/>
        <v>91.51</v>
      </c>
      <c r="H35" s="24">
        <f t="shared" si="2"/>
        <v>125.14</v>
      </c>
      <c r="I35" s="24">
        <f t="shared" si="2"/>
        <v>227.06</v>
      </c>
      <c r="J35" s="24">
        <f t="shared" si="2"/>
        <v>261.3</v>
      </c>
      <c r="K35" s="24">
        <f t="shared" si="3"/>
        <v>0.2</v>
      </c>
      <c r="L35" s="24">
        <f t="shared" si="3"/>
        <v>0.2</v>
      </c>
      <c r="M35" s="25">
        <f t="shared" si="4"/>
        <v>1</v>
      </c>
      <c r="N35" s="25">
        <f t="shared" si="4"/>
        <v>4</v>
      </c>
      <c r="O35" s="24">
        <f t="shared" si="5"/>
        <v>0.2</v>
      </c>
      <c r="P35" s="46">
        <f t="shared" si="5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2"/>
        <v>0.72</v>
      </c>
      <c r="D36" s="24">
        <f t="shared" si="2"/>
        <v>0.69333333333333336</v>
      </c>
      <c r="E36" s="24">
        <f t="shared" si="2"/>
        <v>16.3</v>
      </c>
      <c r="F36" s="24">
        <f t="shared" si="2"/>
        <v>14.896666666666668</v>
      </c>
      <c r="G36" s="24">
        <f t="shared" si="2"/>
        <v>50.36</v>
      </c>
      <c r="H36" s="24">
        <f t="shared" si="2"/>
        <v>73.61</v>
      </c>
      <c r="I36" s="24">
        <f t="shared" si="2"/>
        <v>120.14</v>
      </c>
      <c r="J36" s="24">
        <f t="shared" si="2"/>
        <v>141.93</v>
      </c>
      <c r="K36" s="24">
        <f t="shared" si="3"/>
        <v>0.5</v>
      </c>
      <c r="L36" s="24">
        <f t="shared" si="3"/>
        <v>0.5</v>
      </c>
      <c r="M36" s="25">
        <f t="shared" si="4"/>
        <v>2</v>
      </c>
      <c r="N36" s="25">
        <f t="shared" si="4"/>
        <v>2</v>
      </c>
      <c r="O36" s="24">
        <f t="shared" si="5"/>
        <v>0.5</v>
      </c>
      <c r="P36" s="46">
        <f t="shared" si="5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2"/>
        <v>0.63</v>
      </c>
      <c r="D37" s="24">
        <f t="shared" si="2"/>
        <v>0.59</v>
      </c>
      <c r="E37" s="24">
        <f t="shared" si="2"/>
        <v>9.07</v>
      </c>
      <c r="F37" s="24">
        <f t="shared" si="2"/>
        <v>8.8983333333333334</v>
      </c>
      <c r="G37" s="24">
        <f t="shared" si="2"/>
        <v>60.2</v>
      </c>
      <c r="H37" s="24">
        <f t="shared" si="2"/>
        <v>108.63</v>
      </c>
      <c r="I37" s="24">
        <f t="shared" si="2"/>
        <v>60.49</v>
      </c>
      <c r="J37" s="24">
        <f t="shared" si="2"/>
        <v>70.8</v>
      </c>
      <c r="K37" s="24">
        <f t="shared" si="3"/>
        <v>0.5</v>
      </c>
      <c r="L37" s="24">
        <f t="shared" si="3"/>
        <v>0.33333333333333331</v>
      </c>
      <c r="M37" s="25">
        <f t="shared" si="4"/>
        <v>3</v>
      </c>
      <c r="N37" s="25">
        <f t="shared" si="4"/>
        <v>3</v>
      </c>
      <c r="O37" s="24">
        <f t="shared" si="5"/>
        <v>0.5</v>
      </c>
      <c r="P37" s="46">
        <f t="shared" si="5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2"/>
        <v>0.75</v>
      </c>
      <c r="D38" s="39">
        <f t="shared" si="2"/>
        <v>0.745</v>
      </c>
      <c r="E38" s="39">
        <f t="shared" si="2"/>
        <v>31.45</v>
      </c>
      <c r="F38" s="39">
        <f t="shared" si="2"/>
        <v>29.268333333333334</v>
      </c>
      <c r="G38" s="39">
        <f t="shared" si="2"/>
        <v>92.93</v>
      </c>
      <c r="H38" s="39">
        <f t="shared" si="2"/>
        <v>147.31</v>
      </c>
      <c r="I38" s="39">
        <f t="shared" si="2"/>
        <v>201.02</v>
      </c>
      <c r="J38" s="39">
        <f t="shared" si="2"/>
        <v>249.27</v>
      </c>
      <c r="K38" s="39">
        <f t="shared" si="3"/>
        <v>0.25</v>
      </c>
      <c r="L38" s="39">
        <f t="shared" si="3"/>
        <v>0.33333333333333331</v>
      </c>
      <c r="M38" s="43">
        <f t="shared" si="4"/>
        <v>2</v>
      </c>
      <c r="N38" s="43">
        <f t="shared" si="4"/>
        <v>1</v>
      </c>
      <c r="O38" s="32">
        <f t="shared" si="5"/>
        <v>0.5</v>
      </c>
      <c r="P38" s="48">
        <f t="shared" si="5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6">SQRT(C33^2+C34^2+C35^2+C36^2+C37^2+C38^2)</f>
        <v>1.6849925815860436</v>
      </c>
      <c r="D39" s="68">
        <f t="shared" si="6"/>
        <v>1.5950896874819018</v>
      </c>
      <c r="E39" s="68">
        <f t="shared" si="6"/>
        <v>49.098447022283707</v>
      </c>
      <c r="F39" s="68">
        <f t="shared" si="6"/>
        <v>46.58724035493934</v>
      </c>
      <c r="G39" s="68">
        <f t="shared" si="6"/>
        <v>153.87349186913255</v>
      </c>
      <c r="H39" s="68">
        <f t="shared" si="6"/>
        <v>236.36417071967571</v>
      </c>
      <c r="I39" s="68">
        <f t="shared" si="6"/>
        <v>334.40203617801131</v>
      </c>
      <c r="J39" s="68">
        <f t="shared" si="6"/>
        <v>396.84441019119822</v>
      </c>
      <c r="K39" s="64">
        <f t="shared" si="6"/>
        <v>1.6132265804901678</v>
      </c>
      <c r="L39" s="64">
        <f t="shared" si="6"/>
        <v>1.5849991237291654</v>
      </c>
      <c r="M39" s="68">
        <f t="shared" si="6"/>
        <v>8.2462112512353212</v>
      </c>
      <c r="N39" s="68">
        <f t="shared" si="6"/>
        <v>8.9442719099991592</v>
      </c>
      <c r="O39" s="64">
        <f t="shared" si="6"/>
        <v>1.6703293088490065</v>
      </c>
      <c r="P39" s="65">
        <f t="shared" si="6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2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7">C19</f>
        <v>For whole sample</v>
      </c>
      <c r="D44" s="58" t="str">
        <f t="shared" si="7"/>
        <v>For sensitive subgroups</v>
      </c>
      <c r="E44" s="58" t="str">
        <f t="shared" si="7"/>
        <v>For whole sample</v>
      </c>
      <c r="F44" s="58" t="str">
        <f t="shared" si="7"/>
        <v>For sensitive subgroups</v>
      </c>
      <c r="G44" s="58" t="str">
        <f t="shared" si="7"/>
        <v>In peak hours</v>
      </c>
      <c r="H44" s="58" t="str">
        <f t="shared" si="7"/>
        <v>In off-peak hours</v>
      </c>
      <c r="I44" s="58" t="str">
        <f t="shared" si="7"/>
        <v>In peak hours</v>
      </c>
      <c r="J44" s="58" t="str">
        <f t="shared" si="7"/>
        <v>In off-peak hours</v>
      </c>
      <c r="K44" s="59" t="str">
        <f t="shared" si="7"/>
        <v>Monetary cost of travel</v>
      </c>
      <c r="L44" s="59" t="str">
        <f t="shared" si="7"/>
        <v>Risk unpunct./disservice</v>
      </c>
      <c r="M44" s="58" t="str">
        <f t="shared" si="7"/>
        <v>Percept. on-board safety</v>
      </c>
      <c r="N44" s="58" t="str">
        <f t="shared" si="7"/>
        <v>Understandability for users</v>
      </c>
      <c r="O44" s="59" t="s">
        <v>53</v>
      </c>
      <c r="P44" s="63" t="s">
        <v>54</v>
      </c>
      <c r="Q44" s="133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34"/>
      <c r="R45" s="132"/>
      <c r="S45" s="136"/>
    </row>
    <row r="46" spans="2:20" ht="14.5" customHeight="1" x14ac:dyDescent="0.2">
      <c r="B46" s="21" t="s">
        <v>46</v>
      </c>
      <c r="C46" s="38">
        <f t="shared" ref="C46:P51" si="8">C33/C$39</f>
        <v>0.29673721146556137</v>
      </c>
      <c r="D46" s="28">
        <f t="shared" si="8"/>
        <v>0.29569915119397844</v>
      </c>
      <c r="E46" s="28">
        <f t="shared" si="8"/>
        <v>1.9145208392708911E-2</v>
      </c>
      <c r="F46" s="28">
        <f t="shared" si="8"/>
        <v>2.339696431244901E-2</v>
      </c>
      <c r="G46" s="28">
        <f t="shared" si="8"/>
        <v>9.0983832432338776E-2</v>
      </c>
      <c r="H46" s="28">
        <f t="shared" si="8"/>
        <v>0.10115746361726242</v>
      </c>
      <c r="I46" s="28">
        <f t="shared" si="8"/>
        <v>7.8976791833711313E-2</v>
      </c>
      <c r="J46" s="28">
        <f t="shared" si="8"/>
        <v>6.6550011343931376E-2</v>
      </c>
      <c r="K46" s="28">
        <f t="shared" si="8"/>
        <v>0.61987572737374363</v>
      </c>
      <c r="L46" s="28">
        <f t="shared" si="8"/>
        <v>0.63091517530130425</v>
      </c>
      <c r="M46" s="28">
        <f t="shared" si="8"/>
        <v>0.60633906259083248</v>
      </c>
      <c r="N46" s="28">
        <f t="shared" si="8"/>
        <v>0.55901699437494745</v>
      </c>
      <c r="O46" s="28">
        <f t="shared" si="8"/>
        <v>0.59868434008924964</v>
      </c>
      <c r="P46" s="45">
        <f t="shared" si="8"/>
        <v>0.63710926821185676</v>
      </c>
      <c r="Q46" s="85">
        <f t="shared" ref="Q46:Q51" si="9">(C46*$C$52+D46*$D$52+E46*$E$52+F46*$F$52+G46*$G$52+H46*$H$52+I46*$I$52+J46*$J$52)/SUM($C$52:$J$52)</f>
        <v>0.1574411777133056</v>
      </c>
      <c r="R46" s="99">
        <f t="shared" ref="R46:R51" si="10">(K46*$K$52+L46*$L$52+M46*$M$52+N46*$N$52+O46*$O$52+P46*$P$52)/SUM($K$52:$P$52)</f>
        <v>0.61528817536540481</v>
      </c>
      <c r="S46" s="95">
        <f t="shared" ref="S46:S51" si="11">(C46*$C$52+D46*$D$52+E46*$E$52+F46*$F$52+G46*$G$52+H46*$H$52+I46*$I$52+J46*$J$52+K46*$K$52+L46*$L$52+M46*$M$52+N46*$N$52+O46*$O$52+P46*$P$52)/SUM($C$52:$P$52)</f>
        <v>0.29479527700893532</v>
      </c>
      <c r="T46" s="49"/>
    </row>
    <row r="47" spans="2:20" ht="14.5" customHeight="1" x14ac:dyDescent="0.2">
      <c r="B47" s="22" t="s">
        <v>36</v>
      </c>
      <c r="C47" s="41">
        <f t="shared" si="8"/>
        <v>0.3857583749052298</v>
      </c>
      <c r="D47" s="24">
        <f t="shared" si="8"/>
        <v>0.34376332417957206</v>
      </c>
      <c r="E47" s="24">
        <f t="shared" si="8"/>
        <v>4.1141830801353196E-2</v>
      </c>
      <c r="F47" s="24">
        <f t="shared" si="8"/>
        <v>3.8923390171168991E-2</v>
      </c>
      <c r="G47" s="24">
        <f t="shared" si="8"/>
        <v>0.11457464041300948</v>
      </c>
      <c r="H47" s="24">
        <f t="shared" si="8"/>
        <v>0.11329974385906683</v>
      </c>
      <c r="I47" s="24">
        <f t="shared" si="8"/>
        <v>9.7786485913001139E-2</v>
      </c>
      <c r="J47" s="24">
        <f t="shared" si="8"/>
        <v>8.7943786289405718E-2</v>
      </c>
      <c r="K47" s="24">
        <f t="shared" si="8"/>
        <v>0.61987572737374363</v>
      </c>
      <c r="L47" s="24">
        <f t="shared" si="8"/>
        <v>0.63091517530130425</v>
      </c>
      <c r="M47" s="24">
        <f t="shared" si="8"/>
        <v>0.60633906259083248</v>
      </c>
      <c r="N47" s="24">
        <f t="shared" si="8"/>
        <v>0.55901699437494745</v>
      </c>
      <c r="O47" s="24">
        <f t="shared" si="8"/>
        <v>0.59868434008924964</v>
      </c>
      <c r="P47" s="46">
        <f t="shared" si="8"/>
        <v>0.63710926821185676</v>
      </c>
      <c r="Q47" s="86">
        <f t="shared" si="9"/>
        <v>0.19446669591350754</v>
      </c>
      <c r="R47" s="100">
        <f t="shared" si="10"/>
        <v>0.61528817536540481</v>
      </c>
      <c r="S47" s="96">
        <f t="shared" si="11"/>
        <v>0.32071313974907673</v>
      </c>
      <c r="T47" s="49"/>
    </row>
    <row r="48" spans="2:20" ht="14.5" customHeight="1" x14ac:dyDescent="0.2">
      <c r="B48" s="22" t="s">
        <v>37</v>
      </c>
      <c r="C48" s="41">
        <f t="shared" si="8"/>
        <v>0.49258377103283185</v>
      </c>
      <c r="D48" s="24">
        <f t="shared" si="8"/>
        <v>0.50049432304563835</v>
      </c>
      <c r="E48" s="24">
        <f t="shared" si="8"/>
        <v>0.66580517272090889</v>
      </c>
      <c r="F48" s="24">
        <f t="shared" si="8"/>
        <v>0.68155285491814377</v>
      </c>
      <c r="G48" s="24">
        <f t="shared" si="8"/>
        <v>0.59470932184880876</v>
      </c>
      <c r="H48" s="24">
        <f t="shared" si="8"/>
        <v>0.52943726462000085</v>
      </c>
      <c r="I48" s="24">
        <f t="shared" si="8"/>
        <v>0.67900304255064337</v>
      </c>
      <c r="J48" s="24">
        <f t="shared" si="8"/>
        <v>0.65844445150205488</v>
      </c>
      <c r="K48" s="24">
        <f t="shared" si="8"/>
        <v>0.12397514547474875</v>
      </c>
      <c r="L48" s="24">
        <f t="shared" si="8"/>
        <v>0.12618303506026085</v>
      </c>
      <c r="M48" s="24">
        <f t="shared" si="8"/>
        <v>0.12126781251816648</v>
      </c>
      <c r="N48" s="24">
        <f t="shared" si="8"/>
        <v>0.44721359549995793</v>
      </c>
      <c r="O48" s="24">
        <f t="shared" si="8"/>
        <v>0.11973686801784994</v>
      </c>
      <c r="P48" s="46">
        <f t="shared" si="8"/>
        <v>0.12742185364237135</v>
      </c>
      <c r="Q48" s="86">
        <f t="shared" si="9"/>
        <v>0.58525249368257304</v>
      </c>
      <c r="R48" s="100">
        <f t="shared" si="10"/>
        <v>0.15659865473557782</v>
      </c>
      <c r="S48" s="96">
        <f t="shared" si="11"/>
        <v>0.45665634199847449</v>
      </c>
      <c r="T48" s="49"/>
    </row>
    <row r="49" spans="2:20" ht="14.5" customHeight="1" x14ac:dyDescent="0.2">
      <c r="B49" s="22" t="s">
        <v>39</v>
      </c>
      <c r="C49" s="41">
        <f t="shared" si="8"/>
        <v>0.42730158451040839</v>
      </c>
      <c r="D49" s="24">
        <f t="shared" si="8"/>
        <v>0.43466730352189054</v>
      </c>
      <c r="E49" s="24">
        <f t="shared" si="8"/>
        <v>0.33198606042676099</v>
      </c>
      <c r="F49" s="24">
        <f t="shared" si="8"/>
        <v>0.31975851227013646</v>
      </c>
      <c r="G49" s="24">
        <f t="shared" si="8"/>
        <v>0.32728184294947005</v>
      </c>
      <c r="H49" s="24">
        <f t="shared" si="8"/>
        <v>0.31142621902411904</v>
      </c>
      <c r="I49" s="24">
        <f t="shared" si="8"/>
        <v>0.35926814732684881</v>
      </c>
      <c r="J49" s="24">
        <f t="shared" si="8"/>
        <v>0.35764646384112764</v>
      </c>
      <c r="K49" s="24">
        <f t="shared" si="8"/>
        <v>0.30993786368687182</v>
      </c>
      <c r="L49" s="24">
        <f t="shared" si="8"/>
        <v>0.31545758765065213</v>
      </c>
      <c r="M49" s="24">
        <f t="shared" si="8"/>
        <v>0.24253562503633297</v>
      </c>
      <c r="N49" s="24">
        <f t="shared" si="8"/>
        <v>0.22360679774997896</v>
      </c>
      <c r="O49" s="24">
        <f t="shared" si="8"/>
        <v>0.29934217004462482</v>
      </c>
      <c r="P49" s="46">
        <f t="shared" si="8"/>
        <v>0.21236975607061892</v>
      </c>
      <c r="Q49" s="86">
        <f t="shared" si="9"/>
        <v>0.37479625546082446</v>
      </c>
      <c r="R49" s="100">
        <f t="shared" si="10"/>
        <v>0.29093266545266011</v>
      </c>
      <c r="S49" s="96">
        <f t="shared" si="11"/>
        <v>0.34963717845837522</v>
      </c>
      <c r="T49" s="49"/>
    </row>
    <row r="50" spans="2:20" ht="14.5" customHeight="1" x14ac:dyDescent="0.2">
      <c r="B50" s="22" t="s">
        <v>38</v>
      </c>
      <c r="C50" s="41">
        <f t="shared" si="8"/>
        <v>0.37388888644660734</v>
      </c>
      <c r="D50" s="24">
        <f t="shared" si="8"/>
        <v>0.36988515732391647</v>
      </c>
      <c r="E50" s="24">
        <f t="shared" si="8"/>
        <v>0.18473089374667007</v>
      </c>
      <c r="F50" s="24">
        <f t="shared" si="8"/>
        <v>0.19100365820208756</v>
      </c>
      <c r="G50" s="24">
        <f t="shared" si="8"/>
        <v>0.39123047945905676</v>
      </c>
      <c r="H50" s="24">
        <f t="shared" si="8"/>
        <v>0.45958742253212953</v>
      </c>
      <c r="I50" s="24">
        <f t="shared" si="8"/>
        <v>0.1808900468769859</v>
      </c>
      <c r="J50" s="24">
        <f t="shared" si="8"/>
        <v>0.1784074518421182</v>
      </c>
      <c r="K50" s="24">
        <f t="shared" si="8"/>
        <v>0.30993786368687182</v>
      </c>
      <c r="L50" s="24">
        <f t="shared" si="8"/>
        <v>0.21030505843376807</v>
      </c>
      <c r="M50" s="24">
        <f t="shared" si="8"/>
        <v>0.36380343755449945</v>
      </c>
      <c r="N50" s="24">
        <f t="shared" si="8"/>
        <v>0.33541019662496846</v>
      </c>
      <c r="O50" s="24">
        <f t="shared" si="8"/>
        <v>0.29934217004462482</v>
      </c>
      <c r="P50" s="46">
        <f t="shared" si="8"/>
        <v>0.31855463410592838</v>
      </c>
      <c r="Q50" s="86">
        <f t="shared" si="9"/>
        <v>0.29777328085977295</v>
      </c>
      <c r="R50" s="100">
        <f t="shared" si="10"/>
        <v>0.27171042204974094</v>
      </c>
      <c r="S50" s="96">
        <f t="shared" si="11"/>
        <v>0.28995442321676335</v>
      </c>
      <c r="T50" s="49"/>
    </row>
    <row r="51" spans="2:20" ht="14.5" customHeight="1" thickBot="1" x14ac:dyDescent="0.25">
      <c r="B51" s="22" t="s">
        <v>40</v>
      </c>
      <c r="C51" s="47">
        <f t="shared" si="8"/>
        <v>0.44510581719834208</v>
      </c>
      <c r="D51" s="32">
        <f t="shared" si="8"/>
        <v>0.46705837662087757</v>
      </c>
      <c r="E51" s="32">
        <f t="shared" si="8"/>
        <v>0.64054979143690993</v>
      </c>
      <c r="F51" s="32">
        <f t="shared" si="8"/>
        <v>0.62824784448152449</v>
      </c>
      <c r="G51" s="32">
        <f t="shared" si="8"/>
        <v>0.60393768199551745</v>
      </c>
      <c r="H51" s="32">
        <f t="shared" si="8"/>
        <v>0.62323320641819024</v>
      </c>
      <c r="I51" s="32">
        <f t="shared" si="8"/>
        <v>0.60113270330983148</v>
      </c>
      <c r="J51" s="32">
        <f t="shared" si="8"/>
        <v>0.62813030396447467</v>
      </c>
      <c r="K51" s="32">
        <f t="shared" si="8"/>
        <v>0.15496893184343591</v>
      </c>
      <c r="L51" s="32">
        <f t="shared" si="8"/>
        <v>0.21030505843376807</v>
      </c>
      <c r="M51" s="32">
        <f t="shared" si="8"/>
        <v>0.24253562503633297</v>
      </c>
      <c r="N51" s="32">
        <f t="shared" si="8"/>
        <v>0.11180339887498948</v>
      </c>
      <c r="O51" s="32">
        <f t="shared" si="8"/>
        <v>0.29934217004462482</v>
      </c>
      <c r="P51" s="48">
        <f t="shared" si="8"/>
        <v>0.15927731705296419</v>
      </c>
      <c r="Q51" s="87">
        <f t="shared" si="9"/>
        <v>0.55154679367276882</v>
      </c>
      <c r="R51" s="101">
        <f t="shared" si="10"/>
        <v>0.2048185783294284</v>
      </c>
      <c r="S51" s="97">
        <f t="shared" si="11"/>
        <v>0.44752832906976669</v>
      </c>
      <c r="T51" s="49"/>
    </row>
    <row r="52" spans="2:20" ht="19.75" customHeight="1" thickBot="1" x14ac:dyDescent="0.25">
      <c r="B52" s="51" t="s">
        <v>51</v>
      </c>
      <c r="C52" s="88">
        <f t="shared" ref="C52:P52" si="12">C14</f>
        <v>0.1</v>
      </c>
      <c r="D52" s="89">
        <f t="shared" si="12"/>
        <v>0.2</v>
      </c>
      <c r="E52" s="89">
        <f t="shared" si="12"/>
        <v>0.05</v>
      </c>
      <c r="F52" s="89">
        <f t="shared" si="12"/>
        <v>0.15</v>
      </c>
      <c r="G52" s="89">
        <f t="shared" si="12"/>
        <v>7.0000000000000007E-2</v>
      </c>
      <c r="H52" s="89">
        <f t="shared" si="12"/>
        <v>0.03</v>
      </c>
      <c r="I52" s="89">
        <f t="shared" si="12"/>
        <v>7.0000000000000007E-2</v>
      </c>
      <c r="J52" s="89">
        <f t="shared" si="12"/>
        <v>0.03</v>
      </c>
      <c r="K52" s="90">
        <f t="shared" si="12"/>
        <v>0.05</v>
      </c>
      <c r="L52" s="90">
        <f t="shared" si="12"/>
        <v>0.13</v>
      </c>
      <c r="M52" s="89">
        <f t="shared" si="12"/>
        <v>0.02</v>
      </c>
      <c r="N52" s="89">
        <f t="shared" si="12"/>
        <v>0.03</v>
      </c>
      <c r="O52" s="90">
        <f t="shared" si="12"/>
        <v>0.05</v>
      </c>
      <c r="P52" s="91">
        <f t="shared" si="12"/>
        <v>0.02</v>
      </c>
      <c r="Q52" s="128">
        <f>SUM(C52:P52)</f>
        <v>1.0000000000000002</v>
      </c>
      <c r="R52" s="129"/>
      <c r="S52" s="130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Q52:S52"/>
    <mergeCell ref="B43:B45"/>
    <mergeCell ref="C43:J43"/>
    <mergeCell ref="K43:P43"/>
    <mergeCell ref="Q44:Q45"/>
    <mergeCell ref="R44:R45"/>
    <mergeCell ref="S44:S45"/>
    <mergeCell ref="B42:S42"/>
    <mergeCell ref="B15:P15"/>
    <mergeCell ref="B17:P17"/>
    <mergeCell ref="B18:B20"/>
    <mergeCell ref="C18:J18"/>
    <mergeCell ref="K18:P18"/>
    <mergeCell ref="B27:P27"/>
    <mergeCell ref="B29:P29"/>
    <mergeCell ref="B30:B32"/>
    <mergeCell ref="C30:J30"/>
    <mergeCell ref="K30:P30"/>
    <mergeCell ref="B40:P40"/>
    <mergeCell ref="C10:D10"/>
    <mergeCell ref="E10:F10"/>
    <mergeCell ref="G10:H10"/>
    <mergeCell ref="I10:J10"/>
    <mergeCell ref="K10:P10"/>
    <mergeCell ref="C11:D11"/>
    <mergeCell ref="E11:F11"/>
    <mergeCell ref="G11:H11"/>
    <mergeCell ref="I11:J11"/>
    <mergeCell ref="K11:P11"/>
    <mergeCell ref="C8:F8"/>
    <mergeCell ref="G8:J8"/>
    <mergeCell ref="K8:P8"/>
    <mergeCell ref="C9:F9"/>
    <mergeCell ref="G9:J9"/>
    <mergeCell ref="K9:P9"/>
    <mergeCell ref="C7:J7"/>
    <mergeCell ref="K7:P7"/>
    <mergeCell ref="C2:P2"/>
    <mergeCell ref="C3:P3"/>
    <mergeCell ref="B5:P5"/>
    <mergeCell ref="C6:J6"/>
    <mergeCell ref="K6:P6"/>
  </mergeCells>
  <conditionalFormatting sqref="Q46:Q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6:R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249977111117893"/>
  </sheetPr>
  <dimension ref="B1:T55"/>
  <sheetViews>
    <sheetView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64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1</v>
      </c>
      <c r="C7" s="102">
        <v>0.6</v>
      </c>
      <c r="D7" s="103"/>
      <c r="E7" s="103"/>
      <c r="F7" s="103"/>
      <c r="G7" s="103"/>
      <c r="H7" s="103"/>
      <c r="I7" s="103"/>
      <c r="J7" s="104"/>
      <c r="K7" s="103">
        <v>0.4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1</v>
      </c>
      <c r="C9" s="102">
        <v>0.3</v>
      </c>
      <c r="D9" s="103"/>
      <c r="E9" s="103"/>
      <c r="F9" s="104"/>
      <c r="G9" s="103">
        <v>0.3</v>
      </c>
      <c r="H9" s="103"/>
      <c r="I9" s="103"/>
      <c r="J9" s="104"/>
      <c r="K9" s="103">
        <v>0.4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1</v>
      </c>
      <c r="C11" s="102">
        <v>0.2</v>
      </c>
      <c r="D11" s="104"/>
      <c r="E11" s="103">
        <v>0.1</v>
      </c>
      <c r="F11" s="104"/>
      <c r="G11" s="137">
        <v>0.2</v>
      </c>
      <c r="H11" s="104"/>
      <c r="I11" s="103">
        <v>0.1</v>
      </c>
      <c r="J11" s="104"/>
      <c r="K11" s="103">
        <v>0.4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1</v>
      </c>
      <c r="C14" s="9">
        <v>0.1</v>
      </c>
      <c r="D14" s="10">
        <v>0.1</v>
      </c>
      <c r="E14" s="11">
        <v>0.05</v>
      </c>
      <c r="F14" s="10">
        <v>0.05</v>
      </c>
      <c r="G14" s="12">
        <v>0.12</v>
      </c>
      <c r="H14" s="13">
        <v>0.08</v>
      </c>
      <c r="I14" s="12">
        <v>0.06</v>
      </c>
      <c r="J14" s="13">
        <v>0.04</v>
      </c>
      <c r="K14" s="12">
        <v>0.08</v>
      </c>
      <c r="L14" s="14">
        <v>0.1</v>
      </c>
      <c r="M14" s="14">
        <v>0.08</v>
      </c>
      <c r="N14" s="14">
        <v>0.04</v>
      </c>
      <c r="O14" s="14">
        <v>0.06</v>
      </c>
      <c r="P14" s="62">
        <v>0.04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0">C12</f>
        <v>For whole sample</v>
      </c>
      <c r="D19" s="58" t="str">
        <f t="shared" si="0"/>
        <v>For sensitive subgroups</v>
      </c>
      <c r="E19" s="58" t="str">
        <f t="shared" si="0"/>
        <v>For whole sample</v>
      </c>
      <c r="F19" s="58" t="str">
        <f t="shared" si="0"/>
        <v>For sensitive subgroups</v>
      </c>
      <c r="G19" s="58" t="str">
        <f t="shared" si="0"/>
        <v>In peak hours</v>
      </c>
      <c r="H19" s="58" t="str">
        <f t="shared" si="0"/>
        <v>In off-peak hours</v>
      </c>
      <c r="I19" s="58" t="str">
        <f t="shared" si="0"/>
        <v>In peak hours</v>
      </c>
      <c r="J19" s="58" t="str">
        <f t="shared" si="0"/>
        <v>In off-peak hours</v>
      </c>
      <c r="K19" s="59" t="str">
        <f t="shared" si="0"/>
        <v>Monetary cost of travel</v>
      </c>
      <c r="L19" s="59" t="str">
        <f t="shared" si="0"/>
        <v>Risk unpunct./disservice</v>
      </c>
      <c r="M19" s="58" t="str">
        <f t="shared" si="0"/>
        <v>Percept. on-board safety</v>
      </c>
      <c r="N19" s="58" t="str">
        <f t="shared" si="0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2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3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1">C12</f>
        <v>For whole sample</v>
      </c>
      <c r="D31" s="58" t="str">
        <f t="shared" si="1"/>
        <v>For sensitive subgroups</v>
      </c>
      <c r="E31" s="58" t="str">
        <f t="shared" si="1"/>
        <v>For whole sample</v>
      </c>
      <c r="F31" s="58" t="str">
        <f t="shared" si="1"/>
        <v>For sensitive subgroups</v>
      </c>
      <c r="G31" s="58" t="str">
        <f t="shared" si="1"/>
        <v>In peak hours</v>
      </c>
      <c r="H31" s="58" t="str">
        <f t="shared" si="1"/>
        <v>In off-peak hours</v>
      </c>
      <c r="I31" s="58" t="str">
        <f t="shared" si="1"/>
        <v>In peak hours</v>
      </c>
      <c r="J31" s="58" t="str">
        <f t="shared" si="1"/>
        <v>In off-peak hours</v>
      </c>
      <c r="K31" s="59" t="str">
        <f t="shared" si="1"/>
        <v>Monetary cost of travel</v>
      </c>
      <c r="L31" s="59" t="str">
        <f t="shared" si="1"/>
        <v>Risk unpunct./disservice</v>
      </c>
      <c r="M31" s="58" t="str">
        <f t="shared" si="1"/>
        <v>Percept. on-board safety</v>
      </c>
      <c r="N31" s="58" t="str">
        <f t="shared" si="1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2">C21</f>
        <v>0.5</v>
      </c>
      <c r="D33" s="37">
        <f t="shared" si="2"/>
        <v>0.47166666666666668</v>
      </c>
      <c r="E33" s="37">
        <f t="shared" si="2"/>
        <v>0.94</v>
      </c>
      <c r="F33" s="37">
        <f t="shared" si="2"/>
        <v>1.0900000000000001</v>
      </c>
      <c r="G33" s="37">
        <f t="shared" si="2"/>
        <v>14</v>
      </c>
      <c r="H33" s="37">
        <f t="shared" si="2"/>
        <v>23.91</v>
      </c>
      <c r="I33" s="37">
        <f t="shared" si="2"/>
        <v>26.41</v>
      </c>
      <c r="J33" s="37">
        <f t="shared" si="2"/>
        <v>26.41</v>
      </c>
      <c r="K33" s="37">
        <f t="shared" ref="K33:L38" si="3">1/K21</f>
        <v>1</v>
      </c>
      <c r="L33" s="37">
        <f t="shared" si="3"/>
        <v>1</v>
      </c>
      <c r="M33" s="36">
        <f t="shared" ref="M33:N38" si="4">M21</f>
        <v>5</v>
      </c>
      <c r="N33" s="36">
        <f t="shared" si="4"/>
        <v>5</v>
      </c>
      <c r="O33" s="28">
        <f t="shared" ref="O33:P38" si="5">1/O21</f>
        <v>1</v>
      </c>
      <c r="P33" s="45">
        <f t="shared" si="5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2"/>
        <v>0.65</v>
      </c>
      <c r="D34" s="24">
        <f t="shared" si="2"/>
        <v>0.54833333333333334</v>
      </c>
      <c r="E34" s="24">
        <f t="shared" si="2"/>
        <v>2.02</v>
      </c>
      <c r="F34" s="24">
        <f t="shared" si="2"/>
        <v>1.8133333333333332</v>
      </c>
      <c r="G34" s="24">
        <f t="shared" si="2"/>
        <v>17.63</v>
      </c>
      <c r="H34" s="24">
        <f t="shared" si="2"/>
        <v>26.78</v>
      </c>
      <c r="I34" s="24">
        <f t="shared" si="2"/>
        <v>32.700000000000003</v>
      </c>
      <c r="J34" s="24">
        <f t="shared" si="2"/>
        <v>34.9</v>
      </c>
      <c r="K34" s="24">
        <f t="shared" si="3"/>
        <v>1</v>
      </c>
      <c r="L34" s="24">
        <f t="shared" si="3"/>
        <v>1</v>
      </c>
      <c r="M34" s="25">
        <f t="shared" si="4"/>
        <v>5</v>
      </c>
      <c r="N34" s="25">
        <f t="shared" si="4"/>
        <v>5</v>
      </c>
      <c r="O34" s="24">
        <f t="shared" si="5"/>
        <v>1</v>
      </c>
      <c r="P34" s="46">
        <f t="shared" si="5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2"/>
        <v>0.83</v>
      </c>
      <c r="D35" s="24">
        <f t="shared" si="2"/>
        <v>0.79833333333333334</v>
      </c>
      <c r="E35" s="24">
        <f t="shared" si="2"/>
        <v>32.69</v>
      </c>
      <c r="F35" s="24">
        <f t="shared" si="2"/>
        <v>31.751666666666665</v>
      </c>
      <c r="G35" s="24">
        <f t="shared" si="2"/>
        <v>91.51</v>
      </c>
      <c r="H35" s="24">
        <f t="shared" si="2"/>
        <v>125.14</v>
      </c>
      <c r="I35" s="24">
        <f t="shared" si="2"/>
        <v>227.06</v>
      </c>
      <c r="J35" s="24">
        <f t="shared" si="2"/>
        <v>261.3</v>
      </c>
      <c r="K35" s="24">
        <f t="shared" si="3"/>
        <v>0.2</v>
      </c>
      <c r="L35" s="24">
        <f t="shared" si="3"/>
        <v>0.2</v>
      </c>
      <c r="M35" s="25">
        <f t="shared" si="4"/>
        <v>1</v>
      </c>
      <c r="N35" s="25">
        <f t="shared" si="4"/>
        <v>4</v>
      </c>
      <c r="O35" s="24">
        <f t="shared" si="5"/>
        <v>0.2</v>
      </c>
      <c r="P35" s="46">
        <f t="shared" si="5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2"/>
        <v>0.72</v>
      </c>
      <c r="D36" s="24">
        <f t="shared" si="2"/>
        <v>0.69333333333333336</v>
      </c>
      <c r="E36" s="24">
        <f t="shared" si="2"/>
        <v>16.3</v>
      </c>
      <c r="F36" s="24">
        <f t="shared" si="2"/>
        <v>14.896666666666668</v>
      </c>
      <c r="G36" s="24">
        <f t="shared" si="2"/>
        <v>50.36</v>
      </c>
      <c r="H36" s="24">
        <f t="shared" si="2"/>
        <v>73.61</v>
      </c>
      <c r="I36" s="24">
        <f t="shared" si="2"/>
        <v>120.14</v>
      </c>
      <c r="J36" s="24">
        <f t="shared" si="2"/>
        <v>141.93</v>
      </c>
      <c r="K36" s="24">
        <f t="shared" si="3"/>
        <v>0.5</v>
      </c>
      <c r="L36" s="24">
        <f t="shared" si="3"/>
        <v>0.5</v>
      </c>
      <c r="M36" s="25">
        <f t="shared" si="4"/>
        <v>2</v>
      </c>
      <c r="N36" s="25">
        <f t="shared" si="4"/>
        <v>2</v>
      </c>
      <c r="O36" s="24">
        <f t="shared" si="5"/>
        <v>0.5</v>
      </c>
      <c r="P36" s="46">
        <f t="shared" si="5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2"/>
        <v>0.63</v>
      </c>
      <c r="D37" s="24">
        <f t="shared" si="2"/>
        <v>0.59</v>
      </c>
      <c r="E37" s="24">
        <f t="shared" si="2"/>
        <v>9.07</v>
      </c>
      <c r="F37" s="24">
        <f t="shared" si="2"/>
        <v>8.8983333333333334</v>
      </c>
      <c r="G37" s="24">
        <f t="shared" si="2"/>
        <v>60.2</v>
      </c>
      <c r="H37" s="24">
        <f t="shared" si="2"/>
        <v>108.63</v>
      </c>
      <c r="I37" s="24">
        <f t="shared" si="2"/>
        <v>60.49</v>
      </c>
      <c r="J37" s="24">
        <f t="shared" si="2"/>
        <v>70.8</v>
      </c>
      <c r="K37" s="24">
        <f t="shared" si="3"/>
        <v>0.5</v>
      </c>
      <c r="L37" s="24">
        <f t="shared" si="3"/>
        <v>0.33333333333333331</v>
      </c>
      <c r="M37" s="25">
        <f t="shared" si="4"/>
        <v>3</v>
      </c>
      <c r="N37" s="25">
        <f t="shared" si="4"/>
        <v>3</v>
      </c>
      <c r="O37" s="24">
        <f t="shared" si="5"/>
        <v>0.5</v>
      </c>
      <c r="P37" s="46">
        <f t="shared" si="5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2"/>
        <v>0.75</v>
      </c>
      <c r="D38" s="39">
        <f t="shared" si="2"/>
        <v>0.745</v>
      </c>
      <c r="E38" s="39">
        <f t="shared" si="2"/>
        <v>31.45</v>
      </c>
      <c r="F38" s="39">
        <f t="shared" si="2"/>
        <v>29.268333333333334</v>
      </c>
      <c r="G38" s="39">
        <f t="shared" si="2"/>
        <v>92.93</v>
      </c>
      <c r="H38" s="39">
        <f t="shared" si="2"/>
        <v>147.31</v>
      </c>
      <c r="I38" s="39">
        <f t="shared" si="2"/>
        <v>201.02</v>
      </c>
      <c r="J38" s="39">
        <f t="shared" si="2"/>
        <v>249.27</v>
      </c>
      <c r="K38" s="39">
        <f t="shared" si="3"/>
        <v>0.25</v>
      </c>
      <c r="L38" s="39">
        <f t="shared" si="3"/>
        <v>0.33333333333333331</v>
      </c>
      <c r="M38" s="43">
        <f t="shared" si="4"/>
        <v>2</v>
      </c>
      <c r="N38" s="43">
        <f t="shared" si="4"/>
        <v>1</v>
      </c>
      <c r="O38" s="32">
        <f t="shared" si="5"/>
        <v>0.5</v>
      </c>
      <c r="P38" s="48">
        <f t="shared" si="5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6">SQRT(C33^2+C34^2+C35^2+C36^2+C37^2+C38^2)</f>
        <v>1.6849925815860436</v>
      </c>
      <c r="D39" s="68">
        <f t="shared" si="6"/>
        <v>1.5950896874819018</v>
      </c>
      <c r="E39" s="68">
        <f t="shared" si="6"/>
        <v>49.098447022283707</v>
      </c>
      <c r="F39" s="68">
        <f t="shared" si="6"/>
        <v>46.58724035493934</v>
      </c>
      <c r="G39" s="68">
        <f t="shared" si="6"/>
        <v>153.87349186913255</v>
      </c>
      <c r="H39" s="68">
        <f t="shared" si="6"/>
        <v>236.36417071967571</v>
      </c>
      <c r="I39" s="68">
        <f t="shared" si="6"/>
        <v>334.40203617801131</v>
      </c>
      <c r="J39" s="68">
        <f t="shared" si="6"/>
        <v>396.84441019119822</v>
      </c>
      <c r="K39" s="64">
        <f t="shared" si="6"/>
        <v>1.6132265804901678</v>
      </c>
      <c r="L39" s="64">
        <f t="shared" si="6"/>
        <v>1.5849991237291654</v>
      </c>
      <c r="M39" s="68">
        <f t="shared" si="6"/>
        <v>8.2462112512353212</v>
      </c>
      <c r="N39" s="68">
        <f t="shared" si="6"/>
        <v>8.9442719099991592</v>
      </c>
      <c r="O39" s="64">
        <f t="shared" si="6"/>
        <v>1.6703293088490065</v>
      </c>
      <c r="P39" s="65">
        <f t="shared" si="6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2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7">C19</f>
        <v>For whole sample</v>
      </c>
      <c r="D44" s="58" t="str">
        <f t="shared" si="7"/>
        <v>For sensitive subgroups</v>
      </c>
      <c r="E44" s="58" t="str">
        <f t="shared" si="7"/>
        <v>For whole sample</v>
      </c>
      <c r="F44" s="58" t="str">
        <f t="shared" si="7"/>
        <v>For sensitive subgroups</v>
      </c>
      <c r="G44" s="58" t="str">
        <f t="shared" si="7"/>
        <v>In peak hours</v>
      </c>
      <c r="H44" s="58" t="str">
        <f t="shared" si="7"/>
        <v>In off-peak hours</v>
      </c>
      <c r="I44" s="58" t="str">
        <f t="shared" si="7"/>
        <v>In peak hours</v>
      </c>
      <c r="J44" s="58" t="str">
        <f t="shared" si="7"/>
        <v>In off-peak hours</v>
      </c>
      <c r="K44" s="59" t="str">
        <f t="shared" si="7"/>
        <v>Monetary cost of travel</v>
      </c>
      <c r="L44" s="59" t="str">
        <f t="shared" si="7"/>
        <v>Risk unpunct./disservice</v>
      </c>
      <c r="M44" s="58" t="str">
        <f t="shared" si="7"/>
        <v>Percept. on-board safety</v>
      </c>
      <c r="N44" s="58" t="str">
        <f t="shared" si="7"/>
        <v>Understandability for users</v>
      </c>
      <c r="O44" s="59" t="s">
        <v>53</v>
      </c>
      <c r="P44" s="63" t="s">
        <v>54</v>
      </c>
      <c r="Q44" s="144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45"/>
      <c r="R45" s="132"/>
      <c r="S45" s="136"/>
    </row>
    <row r="46" spans="2:20" ht="14.5" customHeight="1" x14ac:dyDescent="0.2">
      <c r="B46" s="21" t="s">
        <v>46</v>
      </c>
      <c r="C46" s="38">
        <f t="shared" ref="C46:P51" si="8">C33/C$39</f>
        <v>0.29673721146556137</v>
      </c>
      <c r="D46" s="28">
        <f t="shared" si="8"/>
        <v>0.29569915119397844</v>
      </c>
      <c r="E46" s="28">
        <f t="shared" si="8"/>
        <v>1.9145208392708911E-2</v>
      </c>
      <c r="F46" s="28">
        <f t="shared" si="8"/>
        <v>2.339696431244901E-2</v>
      </c>
      <c r="G46" s="28">
        <f t="shared" si="8"/>
        <v>9.0983832432338776E-2</v>
      </c>
      <c r="H46" s="28">
        <f t="shared" si="8"/>
        <v>0.10115746361726242</v>
      </c>
      <c r="I46" s="28">
        <f t="shared" si="8"/>
        <v>7.8976791833711313E-2</v>
      </c>
      <c r="J46" s="28">
        <f t="shared" si="8"/>
        <v>6.6550011343931376E-2</v>
      </c>
      <c r="K46" s="28">
        <f t="shared" si="8"/>
        <v>0.61987572737374363</v>
      </c>
      <c r="L46" s="28">
        <f t="shared" si="8"/>
        <v>0.63091517530130425</v>
      </c>
      <c r="M46" s="28">
        <f t="shared" si="8"/>
        <v>0.60633906259083248</v>
      </c>
      <c r="N46" s="28">
        <f t="shared" si="8"/>
        <v>0.55901699437494745</v>
      </c>
      <c r="O46" s="28">
        <f t="shared" si="8"/>
        <v>0.59868434008924964</v>
      </c>
      <c r="P46" s="45">
        <f t="shared" si="8"/>
        <v>0.63710926821185676</v>
      </c>
      <c r="Q46" s="85">
        <f t="shared" ref="Q46:Q51" si="9">(C46*$C$52+D46*$D$52+E46*$E$52+F46*$F$52+G46*$G$52+H46*$H$52+I46*$I$52+J46*$J$52)/SUM($C$52:$J$52)</f>
        <v>0.14630334974375575</v>
      </c>
      <c r="R46" s="99">
        <f t="shared" ref="R46:R51" si="10">(K46*$K$52+L46*$L$52+M46*$M$52+N46*$N$52+O46*$O$52+P46*$P$52)/SUM($K$52:$P$52)</f>
        <v>0.61238702909030918</v>
      </c>
      <c r="S46" s="95">
        <f t="shared" ref="S46:S51" si="11">(C46*$C$52+D46*$D$52+E46*$E$52+F46*$F$52+G46*$G$52+H46*$H$52+I46*$I$52+J46*$J$52+K46*$K$52+L46*$L$52+M46*$M$52+N46*$N$52+O46*$O$52+P46*$P$52)/SUM($C$52:$P$52)</f>
        <v>0.3327368214823771</v>
      </c>
      <c r="T46" s="49"/>
    </row>
    <row r="47" spans="2:20" ht="14.5" customHeight="1" x14ac:dyDescent="0.2">
      <c r="B47" s="22" t="s">
        <v>36</v>
      </c>
      <c r="C47" s="41">
        <f t="shared" si="8"/>
        <v>0.3857583749052298</v>
      </c>
      <c r="D47" s="24">
        <f t="shared" si="8"/>
        <v>0.34376332417957206</v>
      </c>
      <c r="E47" s="24">
        <f t="shared" si="8"/>
        <v>4.1141830801353196E-2</v>
      </c>
      <c r="F47" s="24">
        <f t="shared" si="8"/>
        <v>3.8923390171168991E-2</v>
      </c>
      <c r="G47" s="24">
        <f t="shared" si="8"/>
        <v>0.11457464041300948</v>
      </c>
      <c r="H47" s="24">
        <f t="shared" si="8"/>
        <v>0.11329974385906683</v>
      </c>
      <c r="I47" s="24">
        <f t="shared" si="8"/>
        <v>9.7786485913001139E-2</v>
      </c>
      <c r="J47" s="24">
        <f t="shared" si="8"/>
        <v>8.7943786289405718E-2</v>
      </c>
      <c r="K47" s="24">
        <f t="shared" si="8"/>
        <v>0.61987572737374363</v>
      </c>
      <c r="L47" s="24">
        <f t="shared" si="8"/>
        <v>0.63091517530130425</v>
      </c>
      <c r="M47" s="24">
        <f t="shared" si="8"/>
        <v>0.60633906259083248</v>
      </c>
      <c r="N47" s="24">
        <f t="shared" si="8"/>
        <v>0.55901699437494745</v>
      </c>
      <c r="O47" s="24">
        <f t="shared" si="8"/>
        <v>0.59868434008924964</v>
      </c>
      <c r="P47" s="46">
        <f t="shared" si="8"/>
        <v>0.63710926821185676</v>
      </c>
      <c r="Q47" s="86">
        <f t="shared" si="9"/>
        <v>0.18192217986958176</v>
      </c>
      <c r="R47" s="100">
        <f t="shared" si="10"/>
        <v>0.61238702909030918</v>
      </c>
      <c r="S47" s="96">
        <f t="shared" si="11"/>
        <v>0.35410811955787275</v>
      </c>
      <c r="T47" s="49"/>
    </row>
    <row r="48" spans="2:20" ht="14.5" customHeight="1" x14ac:dyDescent="0.2">
      <c r="B48" s="22" t="s">
        <v>37</v>
      </c>
      <c r="C48" s="41">
        <f t="shared" si="8"/>
        <v>0.49258377103283185</v>
      </c>
      <c r="D48" s="24">
        <f t="shared" si="8"/>
        <v>0.50049432304563835</v>
      </c>
      <c r="E48" s="24">
        <f t="shared" si="8"/>
        <v>0.66580517272090889</v>
      </c>
      <c r="F48" s="24">
        <f t="shared" si="8"/>
        <v>0.68155285491814377</v>
      </c>
      <c r="G48" s="24">
        <f t="shared" si="8"/>
        <v>0.59470932184880876</v>
      </c>
      <c r="H48" s="24">
        <f t="shared" si="8"/>
        <v>0.52943726462000085</v>
      </c>
      <c r="I48" s="24">
        <f t="shared" si="8"/>
        <v>0.67900304255064337</v>
      </c>
      <c r="J48" s="24">
        <f t="shared" si="8"/>
        <v>0.65844445150205488</v>
      </c>
      <c r="K48" s="24">
        <f t="shared" si="8"/>
        <v>0.12397514547474875</v>
      </c>
      <c r="L48" s="24">
        <f t="shared" si="8"/>
        <v>0.12618303506026085</v>
      </c>
      <c r="M48" s="24">
        <f t="shared" si="8"/>
        <v>0.12126781251816648</v>
      </c>
      <c r="N48" s="24">
        <f t="shared" si="8"/>
        <v>0.44721359549995793</v>
      </c>
      <c r="O48" s="24">
        <f t="shared" si="8"/>
        <v>0.11973686801784994</v>
      </c>
      <c r="P48" s="46">
        <f t="shared" si="8"/>
        <v>0.12742185364237135</v>
      </c>
      <c r="Q48" s="86">
        <f t="shared" si="9"/>
        <v>0.57912295199062924</v>
      </c>
      <c r="R48" s="100">
        <f t="shared" si="10"/>
        <v>0.15601842548055872</v>
      </c>
      <c r="S48" s="96">
        <f t="shared" si="11"/>
        <v>0.40988114138660114</v>
      </c>
      <c r="T48" s="49"/>
    </row>
    <row r="49" spans="2:20" ht="14.5" customHeight="1" x14ac:dyDescent="0.2">
      <c r="B49" s="22" t="s">
        <v>39</v>
      </c>
      <c r="C49" s="41">
        <f t="shared" si="8"/>
        <v>0.42730158451040839</v>
      </c>
      <c r="D49" s="24">
        <f t="shared" si="8"/>
        <v>0.43466730352189054</v>
      </c>
      <c r="E49" s="24">
        <f t="shared" si="8"/>
        <v>0.33198606042676099</v>
      </c>
      <c r="F49" s="24">
        <f t="shared" si="8"/>
        <v>0.31975851227013646</v>
      </c>
      <c r="G49" s="24">
        <f t="shared" si="8"/>
        <v>0.32728184294947005</v>
      </c>
      <c r="H49" s="24">
        <f t="shared" si="8"/>
        <v>0.31142621902411904</v>
      </c>
      <c r="I49" s="24">
        <f t="shared" si="8"/>
        <v>0.35926814732684881</v>
      </c>
      <c r="J49" s="24">
        <f t="shared" si="8"/>
        <v>0.35764646384112764</v>
      </c>
      <c r="K49" s="24">
        <f t="shared" si="8"/>
        <v>0.30993786368687182</v>
      </c>
      <c r="L49" s="24">
        <f t="shared" si="8"/>
        <v>0.31545758765065213</v>
      </c>
      <c r="M49" s="24">
        <f t="shared" si="8"/>
        <v>0.24253562503633297</v>
      </c>
      <c r="N49" s="24">
        <f t="shared" si="8"/>
        <v>0.22360679774997896</v>
      </c>
      <c r="O49" s="24">
        <f t="shared" si="8"/>
        <v>0.29934217004462482</v>
      </c>
      <c r="P49" s="46">
        <f t="shared" si="8"/>
        <v>0.21236975607061892</v>
      </c>
      <c r="Q49" s="86">
        <f t="shared" si="9"/>
        <v>0.36472330584532786</v>
      </c>
      <c r="R49" s="100">
        <f t="shared" si="10"/>
        <v>0.27785807554605757</v>
      </c>
      <c r="S49" s="96">
        <f t="shared" si="11"/>
        <v>0.32997721372561972</v>
      </c>
      <c r="T49" s="49"/>
    </row>
    <row r="50" spans="2:20" ht="14.5" customHeight="1" x14ac:dyDescent="0.2">
      <c r="B50" s="22" t="s">
        <v>38</v>
      </c>
      <c r="C50" s="41">
        <f t="shared" si="8"/>
        <v>0.37388888644660734</v>
      </c>
      <c r="D50" s="24">
        <f t="shared" si="8"/>
        <v>0.36988515732391647</v>
      </c>
      <c r="E50" s="24">
        <f t="shared" si="8"/>
        <v>0.18473089374667007</v>
      </c>
      <c r="F50" s="24">
        <f t="shared" si="8"/>
        <v>0.19100365820208756</v>
      </c>
      <c r="G50" s="24">
        <f t="shared" si="8"/>
        <v>0.39123047945905676</v>
      </c>
      <c r="H50" s="24">
        <f t="shared" si="8"/>
        <v>0.45958742253212953</v>
      </c>
      <c r="I50" s="24">
        <f t="shared" si="8"/>
        <v>0.1808900468769859</v>
      </c>
      <c r="J50" s="24">
        <f t="shared" si="8"/>
        <v>0.1784074518421182</v>
      </c>
      <c r="K50" s="24">
        <f t="shared" si="8"/>
        <v>0.30993786368687182</v>
      </c>
      <c r="L50" s="24">
        <f t="shared" si="8"/>
        <v>0.21030505843376807</v>
      </c>
      <c r="M50" s="24">
        <f t="shared" si="8"/>
        <v>0.36380343755449945</v>
      </c>
      <c r="N50" s="24">
        <f t="shared" si="8"/>
        <v>0.33541019662496846</v>
      </c>
      <c r="O50" s="24">
        <f t="shared" si="8"/>
        <v>0.29934217004462482</v>
      </c>
      <c r="P50" s="46">
        <f t="shared" si="8"/>
        <v>0.31855463410592838</v>
      </c>
      <c r="Q50" s="86">
        <f t="shared" si="9"/>
        <v>0.32478080699741885</v>
      </c>
      <c r="R50" s="100">
        <f t="shared" si="10"/>
        <v>0.29762233343649969</v>
      </c>
      <c r="S50" s="96">
        <f t="shared" si="11"/>
        <v>0.31391741757305131</v>
      </c>
      <c r="T50" s="49"/>
    </row>
    <row r="51" spans="2:20" ht="14.5" customHeight="1" thickBot="1" x14ac:dyDescent="0.25">
      <c r="B51" s="22" t="s">
        <v>40</v>
      </c>
      <c r="C51" s="47">
        <f t="shared" si="8"/>
        <v>0.44510581719834208</v>
      </c>
      <c r="D51" s="32">
        <f t="shared" si="8"/>
        <v>0.46705837662087757</v>
      </c>
      <c r="E51" s="32">
        <f t="shared" si="8"/>
        <v>0.64054979143690993</v>
      </c>
      <c r="F51" s="32">
        <f t="shared" si="8"/>
        <v>0.62824784448152449</v>
      </c>
      <c r="G51" s="32">
        <f t="shared" si="8"/>
        <v>0.60393768199551745</v>
      </c>
      <c r="H51" s="32">
        <f t="shared" si="8"/>
        <v>0.62323320641819024</v>
      </c>
      <c r="I51" s="32">
        <f t="shared" si="8"/>
        <v>0.60113270330983148</v>
      </c>
      <c r="J51" s="32">
        <f t="shared" si="8"/>
        <v>0.62813030396447467</v>
      </c>
      <c r="K51" s="32">
        <f t="shared" si="8"/>
        <v>0.15496893184343591</v>
      </c>
      <c r="L51" s="32">
        <f t="shared" si="8"/>
        <v>0.21030505843376807</v>
      </c>
      <c r="M51" s="32">
        <f t="shared" si="8"/>
        <v>0.24253562503633297</v>
      </c>
      <c r="N51" s="32">
        <f t="shared" si="8"/>
        <v>0.11180339887498948</v>
      </c>
      <c r="O51" s="32">
        <f t="shared" si="8"/>
        <v>0.29934217004462482</v>
      </c>
      <c r="P51" s="48">
        <f t="shared" si="8"/>
        <v>0.15927731705296419</v>
      </c>
      <c r="Q51" s="87">
        <f t="shared" si="9"/>
        <v>0.56363442314654966</v>
      </c>
      <c r="R51" s="101">
        <f t="shared" si="10"/>
        <v>0.20408657308388489</v>
      </c>
      <c r="S51" s="97">
        <f t="shared" si="11"/>
        <v>0.41981528312148375</v>
      </c>
      <c r="T51" s="49"/>
    </row>
    <row r="52" spans="2:20" ht="19.75" customHeight="1" thickBot="1" x14ac:dyDescent="0.25">
      <c r="B52" s="51" t="s">
        <v>51</v>
      </c>
      <c r="C52" s="88">
        <f t="shared" ref="C52:P52" si="12">C14</f>
        <v>0.1</v>
      </c>
      <c r="D52" s="89">
        <f t="shared" si="12"/>
        <v>0.1</v>
      </c>
      <c r="E52" s="89">
        <f t="shared" si="12"/>
        <v>0.05</v>
      </c>
      <c r="F52" s="89">
        <f t="shared" si="12"/>
        <v>0.05</v>
      </c>
      <c r="G52" s="89">
        <f t="shared" si="12"/>
        <v>0.12</v>
      </c>
      <c r="H52" s="89">
        <f t="shared" si="12"/>
        <v>0.08</v>
      </c>
      <c r="I52" s="89">
        <f t="shared" si="12"/>
        <v>0.06</v>
      </c>
      <c r="J52" s="89">
        <f t="shared" si="12"/>
        <v>0.04</v>
      </c>
      <c r="K52" s="90">
        <f t="shared" si="12"/>
        <v>0.08</v>
      </c>
      <c r="L52" s="90">
        <f t="shared" si="12"/>
        <v>0.1</v>
      </c>
      <c r="M52" s="89">
        <f t="shared" si="12"/>
        <v>0.08</v>
      </c>
      <c r="N52" s="89">
        <f t="shared" si="12"/>
        <v>0.04</v>
      </c>
      <c r="O52" s="90">
        <f t="shared" si="12"/>
        <v>0.06</v>
      </c>
      <c r="P52" s="91">
        <f t="shared" si="12"/>
        <v>0.04</v>
      </c>
      <c r="Q52" s="128">
        <f>SUM(C52:P52)</f>
        <v>1</v>
      </c>
      <c r="R52" s="129"/>
      <c r="S52" s="130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Q52:S52"/>
    <mergeCell ref="B43:B45"/>
    <mergeCell ref="C43:J43"/>
    <mergeCell ref="K43:P43"/>
    <mergeCell ref="Q44:Q45"/>
    <mergeCell ref="R44:R45"/>
    <mergeCell ref="S44:S45"/>
    <mergeCell ref="B42:S42"/>
    <mergeCell ref="B15:P15"/>
    <mergeCell ref="B17:P17"/>
    <mergeCell ref="B18:B20"/>
    <mergeCell ref="C18:J18"/>
    <mergeCell ref="K18:P18"/>
    <mergeCell ref="B27:P27"/>
    <mergeCell ref="B29:P29"/>
    <mergeCell ref="B30:B32"/>
    <mergeCell ref="C30:J30"/>
    <mergeCell ref="K30:P30"/>
    <mergeCell ref="B40:P40"/>
    <mergeCell ref="C10:D10"/>
    <mergeCell ref="E10:F10"/>
    <mergeCell ref="G10:H10"/>
    <mergeCell ref="I10:J10"/>
    <mergeCell ref="K10:P10"/>
    <mergeCell ref="C11:D11"/>
    <mergeCell ref="E11:F11"/>
    <mergeCell ref="G11:H11"/>
    <mergeCell ref="I11:J11"/>
    <mergeCell ref="K11:P11"/>
    <mergeCell ref="C8:F8"/>
    <mergeCell ref="G8:J8"/>
    <mergeCell ref="K8:P8"/>
    <mergeCell ref="C9:F9"/>
    <mergeCell ref="G9:J9"/>
    <mergeCell ref="K9:P9"/>
    <mergeCell ref="C7:J7"/>
    <mergeCell ref="K7:P7"/>
    <mergeCell ref="C2:P2"/>
    <mergeCell ref="C3:P3"/>
    <mergeCell ref="B5:P5"/>
    <mergeCell ref="C6:J6"/>
    <mergeCell ref="K6:P6"/>
  </mergeCells>
  <conditionalFormatting sqref="Q46:Q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6:R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B1:T55"/>
  <sheetViews>
    <sheetView zoomScaleNormal="100" workbookViewId="0">
      <selection activeCell="B2" sqref="B2"/>
    </sheetView>
  </sheetViews>
  <sheetFormatPr baseColWidth="10" defaultColWidth="8.83203125" defaultRowHeight="15" x14ac:dyDescent="0.2"/>
  <cols>
    <col min="1" max="1" width="2.83203125" customWidth="1"/>
    <col min="2" max="2" width="20.5" customWidth="1"/>
    <col min="3" max="16" width="7.33203125" customWidth="1"/>
    <col min="17" max="19" width="11" customWidth="1"/>
  </cols>
  <sheetData>
    <row r="1" spans="2:18" ht="16" thickBot="1" x14ac:dyDescent="0.25"/>
    <row r="2" spans="2:18" s="1" customFormat="1" ht="18" customHeight="1" thickBot="1" x14ac:dyDescent="0.3">
      <c r="B2" s="20" t="s">
        <v>0</v>
      </c>
      <c r="C2" s="106" t="s">
        <v>57</v>
      </c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8"/>
      <c r="Q2" s="78"/>
      <c r="R2" s="78"/>
    </row>
    <row r="3" spans="2:18" s="1" customFormat="1" ht="18" customHeight="1" thickBot="1" x14ac:dyDescent="0.3">
      <c r="B3" s="20" t="s">
        <v>62</v>
      </c>
      <c r="C3" s="106" t="s">
        <v>65</v>
      </c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8"/>
      <c r="Q3" s="78"/>
      <c r="R3" s="78"/>
    </row>
    <row r="4" spans="2:18" ht="14.5" customHeight="1" thickBot="1" x14ac:dyDescent="0.25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2:18" s="4" customFormat="1" ht="17.5" customHeight="1" thickBot="1" x14ac:dyDescent="0.25">
      <c r="B5" s="109" t="s">
        <v>42</v>
      </c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1"/>
      <c r="Q5" s="79"/>
      <c r="R5" s="79"/>
    </row>
    <row r="6" spans="2:18" ht="14.5" customHeight="1" x14ac:dyDescent="0.2">
      <c r="B6" s="19" t="s">
        <v>23</v>
      </c>
      <c r="C6" s="112" t="s">
        <v>21</v>
      </c>
      <c r="D6" s="113"/>
      <c r="E6" s="113"/>
      <c r="F6" s="113"/>
      <c r="G6" s="113"/>
      <c r="H6" s="113"/>
      <c r="I6" s="113"/>
      <c r="J6" s="114"/>
      <c r="K6" s="115" t="s">
        <v>22</v>
      </c>
      <c r="L6" s="115"/>
      <c r="M6" s="115"/>
      <c r="N6" s="115"/>
      <c r="O6" s="115"/>
      <c r="P6" s="116"/>
      <c r="Q6" s="80"/>
      <c r="R6" s="80"/>
    </row>
    <row r="7" spans="2:18" ht="14.5" customHeight="1" thickBot="1" x14ac:dyDescent="0.25">
      <c r="B7" s="17">
        <f>SUM(C7:P7)</f>
        <v>1</v>
      </c>
      <c r="C7" s="102">
        <v>0.7</v>
      </c>
      <c r="D7" s="103"/>
      <c r="E7" s="103"/>
      <c r="F7" s="103"/>
      <c r="G7" s="103"/>
      <c r="H7" s="103"/>
      <c r="I7" s="103"/>
      <c r="J7" s="104"/>
      <c r="K7" s="103">
        <v>0.3</v>
      </c>
      <c r="L7" s="103"/>
      <c r="M7" s="103"/>
      <c r="N7" s="103"/>
      <c r="O7" s="103"/>
      <c r="P7" s="105"/>
      <c r="Q7" s="75"/>
      <c r="R7" s="75"/>
    </row>
    <row r="8" spans="2:18" ht="14.5" customHeight="1" x14ac:dyDescent="0.2">
      <c r="B8" s="19" t="s">
        <v>25</v>
      </c>
      <c r="C8" s="112" t="s">
        <v>19</v>
      </c>
      <c r="D8" s="113"/>
      <c r="E8" s="113"/>
      <c r="F8" s="114"/>
      <c r="G8" s="113" t="s">
        <v>20</v>
      </c>
      <c r="H8" s="113"/>
      <c r="I8" s="113"/>
      <c r="J8" s="114"/>
      <c r="K8" s="115" t="s">
        <v>22</v>
      </c>
      <c r="L8" s="115"/>
      <c r="M8" s="115"/>
      <c r="N8" s="115"/>
      <c r="O8" s="115"/>
      <c r="P8" s="116"/>
      <c r="Q8" s="80"/>
      <c r="R8" s="80"/>
    </row>
    <row r="9" spans="2:18" ht="14.5" customHeight="1" thickBot="1" x14ac:dyDescent="0.25">
      <c r="B9" s="17">
        <f>SUM(C9:P9)</f>
        <v>1</v>
      </c>
      <c r="C9" s="102">
        <v>0.4</v>
      </c>
      <c r="D9" s="103"/>
      <c r="E9" s="103"/>
      <c r="F9" s="104"/>
      <c r="G9" s="103">
        <v>0.3</v>
      </c>
      <c r="H9" s="103"/>
      <c r="I9" s="103"/>
      <c r="J9" s="104"/>
      <c r="K9" s="103">
        <v>0.3</v>
      </c>
      <c r="L9" s="103"/>
      <c r="M9" s="103"/>
      <c r="N9" s="103"/>
      <c r="O9" s="103"/>
      <c r="P9" s="105"/>
      <c r="Q9" s="75"/>
      <c r="R9" s="75"/>
    </row>
    <row r="10" spans="2:18" ht="14.5" customHeight="1" x14ac:dyDescent="0.2">
      <c r="B10" s="19" t="s">
        <v>26</v>
      </c>
      <c r="C10" s="112" t="s">
        <v>16</v>
      </c>
      <c r="D10" s="114"/>
      <c r="E10" s="113" t="s">
        <v>15</v>
      </c>
      <c r="F10" s="114"/>
      <c r="G10" s="120" t="s">
        <v>17</v>
      </c>
      <c r="H10" s="114"/>
      <c r="I10" s="113" t="s">
        <v>18</v>
      </c>
      <c r="J10" s="114"/>
      <c r="K10" s="115" t="s">
        <v>22</v>
      </c>
      <c r="L10" s="115"/>
      <c r="M10" s="115"/>
      <c r="N10" s="115"/>
      <c r="O10" s="115"/>
      <c r="P10" s="116"/>
      <c r="Q10" s="80"/>
      <c r="R10" s="80"/>
    </row>
    <row r="11" spans="2:18" ht="14.5" customHeight="1" thickBot="1" x14ac:dyDescent="0.25">
      <c r="B11" s="17">
        <f>SUM(C11:P11)</f>
        <v>1</v>
      </c>
      <c r="C11" s="102">
        <v>0.1</v>
      </c>
      <c r="D11" s="104"/>
      <c r="E11" s="103">
        <v>0.3</v>
      </c>
      <c r="F11" s="104"/>
      <c r="G11" s="137">
        <v>0.15</v>
      </c>
      <c r="H11" s="104"/>
      <c r="I11" s="103">
        <v>0.15</v>
      </c>
      <c r="J11" s="104"/>
      <c r="K11" s="103">
        <v>0.3</v>
      </c>
      <c r="L11" s="103"/>
      <c r="M11" s="103"/>
      <c r="N11" s="103"/>
      <c r="O11" s="103"/>
      <c r="P11" s="105"/>
      <c r="Q11" s="75"/>
      <c r="R11" s="75"/>
    </row>
    <row r="12" spans="2:18" ht="39.5" customHeight="1" x14ac:dyDescent="0.2">
      <c r="B12" s="18" t="s">
        <v>24</v>
      </c>
      <c r="C12" s="52" t="s">
        <v>27</v>
      </c>
      <c r="D12" s="53" t="s">
        <v>34</v>
      </c>
      <c r="E12" s="54" t="s">
        <v>27</v>
      </c>
      <c r="F12" s="55" t="s">
        <v>34</v>
      </c>
      <c r="G12" s="54" t="s">
        <v>28</v>
      </c>
      <c r="H12" s="55" t="s">
        <v>29</v>
      </c>
      <c r="I12" s="54" t="s">
        <v>28</v>
      </c>
      <c r="J12" s="55" t="s">
        <v>29</v>
      </c>
      <c r="K12" s="56" t="s">
        <v>30</v>
      </c>
      <c r="L12" s="56" t="s">
        <v>31</v>
      </c>
      <c r="M12" s="54" t="s">
        <v>32</v>
      </c>
      <c r="N12" s="54" t="s">
        <v>33</v>
      </c>
      <c r="O12" s="56" t="s">
        <v>53</v>
      </c>
      <c r="P12" s="60" t="s">
        <v>54</v>
      </c>
      <c r="Q12" s="81"/>
      <c r="R12" s="81"/>
    </row>
    <row r="13" spans="2:18" ht="14.5" customHeight="1" x14ac:dyDescent="0.2">
      <c r="B13" s="16"/>
      <c r="C13" s="5" t="s">
        <v>1</v>
      </c>
      <c r="D13" s="6" t="s">
        <v>2</v>
      </c>
      <c r="E13" s="7" t="s">
        <v>3</v>
      </c>
      <c r="F13" s="6" t="s">
        <v>4</v>
      </c>
      <c r="G13" s="7" t="s">
        <v>5</v>
      </c>
      <c r="H13" s="6" t="s">
        <v>6</v>
      </c>
      <c r="I13" s="7" t="s">
        <v>7</v>
      </c>
      <c r="J13" s="6" t="s">
        <v>8</v>
      </c>
      <c r="K13" s="8" t="s">
        <v>9</v>
      </c>
      <c r="L13" s="8" t="s">
        <v>10</v>
      </c>
      <c r="M13" s="7" t="s">
        <v>11</v>
      </c>
      <c r="N13" s="7" t="s">
        <v>12</v>
      </c>
      <c r="O13" s="8" t="s">
        <v>13</v>
      </c>
      <c r="P13" s="61" t="s">
        <v>14</v>
      </c>
      <c r="Q13" s="82"/>
      <c r="R13" s="82"/>
    </row>
    <row r="14" spans="2:18" ht="14.5" customHeight="1" thickBot="1" x14ac:dyDescent="0.25">
      <c r="B14" s="17">
        <f>SUM(C14:P14)</f>
        <v>1</v>
      </c>
      <c r="C14" s="9">
        <v>0.05</v>
      </c>
      <c r="D14" s="10">
        <v>0.05</v>
      </c>
      <c r="E14" s="11">
        <v>0.2</v>
      </c>
      <c r="F14" s="10">
        <v>0.1</v>
      </c>
      <c r="G14" s="12">
        <v>0.05</v>
      </c>
      <c r="H14" s="13">
        <v>0.1</v>
      </c>
      <c r="I14" s="12">
        <v>0.05</v>
      </c>
      <c r="J14" s="13">
        <v>0.1</v>
      </c>
      <c r="K14" s="12">
        <v>0.1</v>
      </c>
      <c r="L14" s="14">
        <v>0.1</v>
      </c>
      <c r="M14" s="14">
        <v>0.02</v>
      </c>
      <c r="N14" s="14">
        <v>0.03</v>
      </c>
      <c r="O14" s="14">
        <v>0.02</v>
      </c>
      <c r="P14" s="62">
        <v>0.03</v>
      </c>
      <c r="Q14" s="76"/>
      <c r="R14" s="76"/>
    </row>
    <row r="15" spans="2:18" ht="14.5" customHeight="1" thickBot="1" x14ac:dyDescent="0.25">
      <c r="B15" s="117" t="s">
        <v>35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9"/>
      <c r="Q15" s="83"/>
      <c r="R15" s="83"/>
    </row>
    <row r="16" spans="2:18" ht="14.5" customHeight="1" thickBot="1" x14ac:dyDescent="0.25">
      <c r="B16" s="15"/>
      <c r="C16" s="15"/>
      <c r="D16" s="15"/>
      <c r="E16" s="15"/>
      <c r="F16" s="15"/>
      <c r="G16" s="15"/>
      <c r="H16" s="15"/>
      <c r="I16" s="50"/>
      <c r="J16" s="15"/>
      <c r="K16" s="15"/>
      <c r="L16" s="15"/>
      <c r="M16" s="15"/>
      <c r="N16" s="15"/>
      <c r="O16" s="15"/>
      <c r="P16" s="15"/>
    </row>
    <row r="17" spans="2:18" ht="17.5" customHeight="1" thickBot="1" x14ac:dyDescent="0.25">
      <c r="B17" s="109" t="s">
        <v>43</v>
      </c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1"/>
      <c r="Q17" s="79"/>
      <c r="R17" s="79"/>
    </row>
    <row r="18" spans="2:18" ht="17.5" customHeight="1" x14ac:dyDescent="0.2">
      <c r="B18" s="121" t="s">
        <v>41</v>
      </c>
      <c r="C18" s="124" t="s">
        <v>44</v>
      </c>
      <c r="D18" s="125"/>
      <c r="E18" s="125"/>
      <c r="F18" s="125"/>
      <c r="G18" s="125"/>
      <c r="H18" s="125"/>
      <c r="I18" s="125"/>
      <c r="J18" s="126"/>
      <c r="K18" s="127" t="s">
        <v>45</v>
      </c>
      <c r="L18" s="127"/>
      <c r="M18" s="127"/>
      <c r="N18" s="127"/>
      <c r="O18" s="115"/>
      <c r="P18" s="116"/>
      <c r="Q18" s="80"/>
      <c r="R18" s="80"/>
    </row>
    <row r="19" spans="2:18" ht="39.5" customHeight="1" x14ac:dyDescent="0.2">
      <c r="B19" s="122"/>
      <c r="C19" s="57" t="str">
        <f t="shared" ref="C19:N19" si="0">C12</f>
        <v>For whole sample</v>
      </c>
      <c r="D19" s="58" t="str">
        <f t="shared" si="0"/>
        <v>For sensitive subgroups</v>
      </c>
      <c r="E19" s="58" t="str">
        <f t="shared" si="0"/>
        <v>For whole sample</v>
      </c>
      <c r="F19" s="58" t="str">
        <f t="shared" si="0"/>
        <v>For sensitive subgroups</v>
      </c>
      <c r="G19" s="58" t="str">
        <f t="shared" si="0"/>
        <v>In peak hours</v>
      </c>
      <c r="H19" s="58" t="str">
        <f t="shared" si="0"/>
        <v>In off-peak hours</v>
      </c>
      <c r="I19" s="58" t="str">
        <f t="shared" si="0"/>
        <v>In peak hours</v>
      </c>
      <c r="J19" s="58" t="str">
        <f t="shared" si="0"/>
        <v>In off-peak hours</v>
      </c>
      <c r="K19" s="59" t="str">
        <f t="shared" si="0"/>
        <v>Monetary cost of travel</v>
      </c>
      <c r="L19" s="59" t="str">
        <f t="shared" si="0"/>
        <v>Risk unpunct./disservice</v>
      </c>
      <c r="M19" s="58" t="str">
        <f t="shared" si="0"/>
        <v>Percept. on-board safety</v>
      </c>
      <c r="N19" s="58" t="str">
        <f t="shared" si="0"/>
        <v>Understandability for users</v>
      </c>
      <c r="O19" s="59" t="s">
        <v>53</v>
      </c>
      <c r="P19" s="63" t="s">
        <v>54</v>
      </c>
      <c r="Q19" s="81"/>
      <c r="R19" s="81"/>
    </row>
    <row r="20" spans="2:18" ht="16" thickBot="1" x14ac:dyDescent="0.25">
      <c r="B20" s="123"/>
      <c r="C20" s="33" t="s">
        <v>1</v>
      </c>
      <c r="D20" s="34" t="s">
        <v>2</v>
      </c>
      <c r="E20" s="34" t="s">
        <v>3</v>
      </c>
      <c r="F20" s="34" t="s">
        <v>4</v>
      </c>
      <c r="G20" s="34" t="s">
        <v>5</v>
      </c>
      <c r="H20" s="34" t="s">
        <v>6</v>
      </c>
      <c r="I20" s="34" t="s">
        <v>7</v>
      </c>
      <c r="J20" s="34" t="s">
        <v>8</v>
      </c>
      <c r="K20" s="35" t="s">
        <v>9</v>
      </c>
      <c r="L20" s="35" t="s">
        <v>10</v>
      </c>
      <c r="M20" s="34" t="s">
        <v>11</v>
      </c>
      <c r="N20" s="34" t="s">
        <v>12</v>
      </c>
      <c r="O20" s="8" t="s">
        <v>13</v>
      </c>
      <c r="P20" s="61" t="s">
        <v>14</v>
      </c>
      <c r="Q20" s="82"/>
      <c r="R20" s="82"/>
    </row>
    <row r="21" spans="2:18" ht="14.5" customHeight="1" x14ac:dyDescent="0.2">
      <c r="B21" s="21" t="s">
        <v>46</v>
      </c>
      <c r="C21" s="26">
        <v>0.5</v>
      </c>
      <c r="D21" s="27">
        <v>0.47166666666666668</v>
      </c>
      <c r="E21" s="27">
        <v>0.94</v>
      </c>
      <c r="F21" s="27">
        <v>1.0900000000000001</v>
      </c>
      <c r="G21" s="28">
        <v>14</v>
      </c>
      <c r="H21" s="28">
        <v>23.91</v>
      </c>
      <c r="I21" s="28">
        <v>26.41</v>
      </c>
      <c r="J21" s="28">
        <v>26.41</v>
      </c>
      <c r="K21" s="69">
        <v>1</v>
      </c>
      <c r="L21" s="69">
        <v>1</v>
      </c>
      <c r="M21" s="69">
        <v>5</v>
      </c>
      <c r="N21" s="69">
        <v>5</v>
      </c>
      <c r="O21" s="69">
        <v>1</v>
      </c>
      <c r="P21" s="70">
        <v>1</v>
      </c>
      <c r="Q21" s="77"/>
      <c r="R21" s="77"/>
    </row>
    <row r="22" spans="2:18" ht="14.5" customHeight="1" x14ac:dyDescent="0.2">
      <c r="B22" s="22" t="s">
        <v>36</v>
      </c>
      <c r="C22" s="29">
        <v>0.65</v>
      </c>
      <c r="D22" s="23">
        <v>0.54833333333333334</v>
      </c>
      <c r="E22" s="23">
        <v>2.02</v>
      </c>
      <c r="F22" s="23">
        <v>1.8133333333333332</v>
      </c>
      <c r="G22" s="24">
        <v>17.63</v>
      </c>
      <c r="H22" s="24">
        <v>26.78</v>
      </c>
      <c r="I22" s="24">
        <v>32.700000000000003</v>
      </c>
      <c r="J22" s="24">
        <v>34.9</v>
      </c>
      <c r="K22" s="71">
        <v>1</v>
      </c>
      <c r="L22" s="71">
        <v>1</v>
      </c>
      <c r="M22" s="71">
        <v>5</v>
      </c>
      <c r="N22" s="71">
        <v>5</v>
      </c>
      <c r="O22" s="71">
        <v>1</v>
      </c>
      <c r="P22" s="72">
        <v>1</v>
      </c>
      <c r="Q22" s="77"/>
      <c r="R22" s="77"/>
    </row>
    <row r="23" spans="2:18" ht="14.5" customHeight="1" x14ac:dyDescent="0.2">
      <c r="B23" s="22" t="s">
        <v>37</v>
      </c>
      <c r="C23" s="29">
        <v>0.83</v>
      </c>
      <c r="D23" s="23">
        <v>0.79833333333333334</v>
      </c>
      <c r="E23" s="23">
        <v>32.69</v>
      </c>
      <c r="F23" s="23">
        <v>31.751666666666665</v>
      </c>
      <c r="G23" s="24">
        <v>91.51</v>
      </c>
      <c r="H23" s="24">
        <v>125.14</v>
      </c>
      <c r="I23" s="24">
        <v>227.06</v>
      </c>
      <c r="J23" s="24">
        <v>261.3</v>
      </c>
      <c r="K23" s="71">
        <v>5</v>
      </c>
      <c r="L23" s="71">
        <v>5</v>
      </c>
      <c r="M23" s="71">
        <v>1</v>
      </c>
      <c r="N23" s="71">
        <v>4</v>
      </c>
      <c r="O23" s="71">
        <v>5</v>
      </c>
      <c r="P23" s="72">
        <v>5</v>
      </c>
      <c r="Q23" s="77"/>
      <c r="R23" s="77"/>
    </row>
    <row r="24" spans="2:18" ht="14.5" customHeight="1" x14ac:dyDescent="0.2">
      <c r="B24" s="22" t="s">
        <v>39</v>
      </c>
      <c r="C24" s="29">
        <v>0.72</v>
      </c>
      <c r="D24" s="23">
        <v>0.69333333333333336</v>
      </c>
      <c r="E24" s="23">
        <v>16.3</v>
      </c>
      <c r="F24" s="23">
        <v>14.896666666666668</v>
      </c>
      <c r="G24" s="24">
        <v>50.36</v>
      </c>
      <c r="H24" s="24">
        <v>73.61</v>
      </c>
      <c r="I24" s="24">
        <v>120.14</v>
      </c>
      <c r="J24" s="24">
        <v>141.93</v>
      </c>
      <c r="K24" s="71">
        <v>2</v>
      </c>
      <c r="L24" s="71">
        <v>2</v>
      </c>
      <c r="M24" s="71">
        <v>2</v>
      </c>
      <c r="N24" s="71">
        <v>3</v>
      </c>
      <c r="O24" s="71">
        <v>2</v>
      </c>
      <c r="P24" s="72">
        <v>3</v>
      </c>
      <c r="Q24" s="77"/>
      <c r="R24" s="77"/>
    </row>
    <row r="25" spans="2:18" ht="14.5" customHeight="1" x14ac:dyDescent="0.2">
      <c r="B25" s="22" t="s">
        <v>38</v>
      </c>
      <c r="C25" s="29">
        <v>0.63</v>
      </c>
      <c r="D25" s="23">
        <v>0.59</v>
      </c>
      <c r="E25" s="23">
        <v>9.07</v>
      </c>
      <c r="F25" s="23">
        <v>8.8983333333333334</v>
      </c>
      <c r="G25" s="24">
        <v>60.2</v>
      </c>
      <c r="H25" s="24">
        <v>108.63</v>
      </c>
      <c r="I25" s="24">
        <v>60.49</v>
      </c>
      <c r="J25" s="24">
        <v>70.8</v>
      </c>
      <c r="K25" s="71">
        <v>2</v>
      </c>
      <c r="L25" s="71">
        <v>3</v>
      </c>
      <c r="M25" s="71">
        <v>3</v>
      </c>
      <c r="N25" s="71">
        <v>4</v>
      </c>
      <c r="O25" s="71">
        <v>2</v>
      </c>
      <c r="P25" s="72">
        <v>2</v>
      </c>
      <c r="Q25" s="77"/>
      <c r="R25" s="77"/>
    </row>
    <row r="26" spans="2:18" ht="14.5" customHeight="1" thickBot="1" x14ac:dyDescent="0.25">
      <c r="B26" s="22" t="s">
        <v>40</v>
      </c>
      <c r="C26" s="30">
        <v>0.75</v>
      </c>
      <c r="D26" s="31">
        <v>0.745</v>
      </c>
      <c r="E26" s="31">
        <v>31.45</v>
      </c>
      <c r="F26" s="31">
        <v>29.268333333333334</v>
      </c>
      <c r="G26" s="32">
        <v>92.93</v>
      </c>
      <c r="H26" s="32">
        <v>147.31</v>
      </c>
      <c r="I26" s="32">
        <v>201.02</v>
      </c>
      <c r="J26" s="32">
        <v>249.27</v>
      </c>
      <c r="K26" s="73">
        <v>4</v>
      </c>
      <c r="L26" s="73">
        <v>3</v>
      </c>
      <c r="M26" s="73">
        <v>2</v>
      </c>
      <c r="N26" s="73">
        <v>1</v>
      </c>
      <c r="O26" s="73">
        <v>2</v>
      </c>
      <c r="P26" s="74">
        <v>4</v>
      </c>
      <c r="Q26" s="77"/>
      <c r="R26" s="77"/>
    </row>
    <row r="27" spans="2:18" ht="14.5" customHeight="1" thickBot="1" x14ac:dyDescent="0.25">
      <c r="B27" s="117" t="s">
        <v>35</v>
      </c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9"/>
      <c r="Q27" s="83"/>
      <c r="R27" s="83"/>
    </row>
    <row r="28" spans="2:18" ht="14.5" customHeight="1" thickBot="1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83"/>
      <c r="R28" s="83"/>
    </row>
    <row r="29" spans="2:18" ht="17.5" customHeight="1" thickBot="1" x14ac:dyDescent="0.25">
      <c r="B29" s="109" t="s">
        <v>47</v>
      </c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110"/>
      <c r="P29" s="111"/>
      <c r="Q29" s="79"/>
      <c r="R29" s="79"/>
    </row>
    <row r="30" spans="2:18" ht="17.5" customHeight="1" x14ac:dyDescent="0.2">
      <c r="B30" s="121" t="s">
        <v>41</v>
      </c>
      <c r="C30" s="124" t="s">
        <v>44</v>
      </c>
      <c r="D30" s="125"/>
      <c r="E30" s="125"/>
      <c r="F30" s="125"/>
      <c r="G30" s="125"/>
      <c r="H30" s="125"/>
      <c r="I30" s="125"/>
      <c r="J30" s="126"/>
      <c r="K30" s="127" t="s">
        <v>45</v>
      </c>
      <c r="L30" s="127"/>
      <c r="M30" s="127"/>
      <c r="N30" s="127"/>
      <c r="O30" s="115"/>
      <c r="P30" s="116"/>
      <c r="Q30" s="80"/>
      <c r="R30" s="80"/>
    </row>
    <row r="31" spans="2:18" ht="39.5" customHeight="1" x14ac:dyDescent="0.2">
      <c r="B31" s="122"/>
      <c r="C31" s="57" t="str">
        <f t="shared" ref="C31:N31" si="1">C12</f>
        <v>For whole sample</v>
      </c>
      <c r="D31" s="58" t="str">
        <f t="shared" si="1"/>
        <v>For sensitive subgroups</v>
      </c>
      <c r="E31" s="58" t="str">
        <f t="shared" si="1"/>
        <v>For whole sample</v>
      </c>
      <c r="F31" s="58" t="str">
        <f t="shared" si="1"/>
        <v>For sensitive subgroups</v>
      </c>
      <c r="G31" s="58" t="str">
        <f t="shared" si="1"/>
        <v>In peak hours</v>
      </c>
      <c r="H31" s="58" t="str">
        <f t="shared" si="1"/>
        <v>In off-peak hours</v>
      </c>
      <c r="I31" s="58" t="str">
        <f t="shared" si="1"/>
        <v>In peak hours</v>
      </c>
      <c r="J31" s="58" t="str">
        <f t="shared" si="1"/>
        <v>In off-peak hours</v>
      </c>
      <c r="K31" s="59" t="str">
        <f t="shared" si="1"/>
        <v>Monetary cost of travel</v>
      </c>
      <c r="L31" s="59" t="str">
        <f t="shared" si="1"/>
        <v>Risk unpunct./disservice</v>
      </c>
      <c r="M31" s="58" t="str">
        <f t="shared" si="1"/>
        <v>Percept. on-board safety</v>
      </c>
      <c r="N31" s="58" t="str">
        <f t="shared" si="1"/>
        <v>Understandability for users</v>
      </c>
      <c r="O31" s="59" t="s">
        <v>53</v>
      </c>
      <c r="P31" s="63" t="s">
        <v>54</v>
      </c>
      <c r="Q31" s="81"/>
      <c r="R31" s="81"/>
    </row>
    <row r="32" spans="2:18" ht="16" thickBot="1" x14ac:dyDescent="0.25">
      <c r="B32" s="123"/>
      <c r="C32" s="33" t="s">
        <v>1</v>
      </c>
      <c r="D32" s="34" t="s">
        <v>2</v>
      </c>
      <c r="E32" s="34" t="s">
        <v>3</v>
      </c>
      <c r="F32" s="34" t="s">
        <v>4</v>
      </c>
      <c r="G32" s="34" t="s">
        <v>5</v>
      </c>
      <c r="H32" s="34" t="s">
        <v>6</v>
      </c>
      <c r="I32" s="34" t="s">
        <v>7</v>
      </c>
      <c r="J32" s="34" t="s">
        <v>8</v>
      </c>
      <c r="K32" s="35" t="s">
        <v>9</v>
      </c>
      <c r="L32" s="35" t="s">
        <v>10</v>
      </c>
      <c r="M32" s="34" t="s">
        <v>11</v>
      </c>
      <c r="N32" s="34" t="s">
        <v>12</v>
      </c>
      <c r="O32" s="35" t="s">
        <v>13</v>
      </c>
      <c r="P32" s="66" t="s">
        <v>14</v>
      </c>
      <c r="Q32" s="82"/>
      <c r="R32" s="82"/>
    </row>
    <row r="33" spans="2:20" ht="14.5" customHeight="1" x14ac:dyDescent="0.2">
      <c r="B33" s="21" t="s">
        <v>46</v>
      </c>
      <c r="C33" s="40">
        <f t="shared" ref="C33:J38" si="2">C21</f>
        <v>0.5</v>
      </c>
      <c r="D33" s="37">
        <f t="shared" si="2"/>
        <v>0.47166666666666668</v>
      </c>
      <c r="E33" s="37">
        <f t="shared" si="2"/>
        <v>0.94</v>
      </c>
      <c r="F33" s="37">
        <f t="shared" si="2"/>
        <v>1.0900000000000001</v>
      </c>
      <c r="G33" s="37">
        <f t="shared" si="2"/>
        <v>14</v>
      </c>
      <c r="H33" s="37">
        <f t="shared" si="2"/>
        <v>23.91</v>
      </c>
      <c r="I33" s="37">
        <f t="shared" si="2"/>
        <v>26.41</v>
      </c>
      <c r="J33" s="37">
        <f t="shared" si="2"/>
        <v>26.41</v>
      </c>
      <c r="K33" s="37">
        <f t="shared" ref="K33:L38" si="3">1/K21</f>
        <v>1</v>
      </c>
      <c r="L33" s="37">
        <f t="shared" si="3"/>
        <v>1</v>
      </c>
      <c r="M33" s="36">
        <f t="shared" ref="M33:N38" si="4">M21</f>
        <v>5</v>
      </c>
      <c r="N33" s="36">
        <f t="shared" si="4"/>
        <v>5</v>
      </c>
      <c r="O33" s="28">
        <f t="shared" ref="O33:P38" si="5">1/O21</f>
        <v>1</v>
      </c>
      <c r="P33" s="45">
        <f t="shared" si="5"/>
        <v>1</v>
      </c>
      <c r="Q33" s="77"/>
      <c r="R33" s="77"/>
    </row>
    <row r="34" spans="2:20" ht="14.5" customHeight="1" x14ac:dyDescent="0.2">
      <c r="B34" s="22" t="s">
        <v>36</v>
      </c>
      <c r="C34" s="41">
        <f t="shared" si="2"/>
        <v>0.65</v>
      </c>
      <c r="D34" s="24">
        <f t="shared" si="2"/>
        <v>0.54833333333333334</v>
      </c>
      <c r="E34" s="24">
        <f t="shared" si="2"/>
        <v>2.02</v>
      </c>
      <c r="F34" s="24">
        <f t="shared" si="2"/>
        <v>1.8133333333333332</v>
      </c>
      <c r="G34" s="24">
        <f t="shared" si="2"/>
        <v>17.63</v>
      </c>
      <c r="H34" s="24">
        <f t="shared" si="2"/>
        <v>26.78</v>
      </c>
      <c r="I34" s="24">
        <f t="shared" si="2"/>
        <v>32.700000000000003</v>
      </c>
      <c r="J34" s="24">
        <f t="shared" si="2"/>
        <v>34.9</v>
      </c>
      <c r="K34" s="24">
        <f t="shared" si="3"/>
        <v>1</v>
      </c>
      <c r="L34" s="24">
        <f t="shared" si="3"/>
        <v>1</v>
      </c>
      <c r="M34" s="25">
        <f t="shared" si="4"/>
        <v>5</v>
      </c>
      <c r="N34" s="25">
        <f t="shared" si="4"/>
        <v>5</v>
      </c>
      <c r="O34" s="24">
        <f t="shared" si="5"/>
        <v>1</v>
      </c>
      <c r="P34" s="46">
        <f t="shared" si="5"/>
        <v>1</v>
      </c>
      <c r="Q34" s="77"/>
      <c r="R34" s="77"/>
    </row>
    <row r="35" spans="2:20" ht="14.5" customHeight="1" x14ac:dyDescent="0.2">
      <c r="B35" s="22" t="s">
        <v>37</v>
      </c>
      <c r="C35" s="41">
        <f t="shared" si="2"/>
        <v>0.83</v>
      </c>
      <c r="D35" s="24">
        <f t="shared" si="2"/>
        <v>0.79833333333333334</v>
      </c>
      <c r="E35" s="24">
        <f t="shared" si="2"/>
        <v>32.69</v>
      </c>
      <c r="F35" s="24">
        <f t="shared" si="2"/>
        <v>31.751666666666665</v>
      </c>
      <c r="G35" s="24">
        <f t="shared" si="2"/>
        <v>91.51</v>
      </c>
      <c r="H35" s="24">
        <f t="shared" si="2"/>
        <v>125.14</v>
      </c>
      <c r="I35" s="24">
        <f t="shared" si="2"/>
        <v>227.06</v>
      </c>
      <c r="J35" s="24">
        <f t="shared" si="2"/>
        <v>261.3</v>
      </c>
      <c r="K35" s="24">
        <f t="shared" si="3"/>
        <v>0.2</v>
      </c>
      <c r="L35" s="24">
        <f t="shared" si="3"/>
        <v>0.2</v>
      </c>
      <c r="M35" s="25">
        <f t="shared" si="4"/>
        <v>1</v>
      </c>
      <c r="N35" s="25">
        <f t="shared" si="4"/>
        <v>4</v>
      </c>
      <c r="O35" s="24">
        <f t="shared" si="5"/>
        <v>0.2</v>
      </c>
      <c r="P35" s="46">
        <f t="shared" si="5"/>
        <v>0.2</v>
      </c>
      <c r="Q35" s="77"/>
      <c r="R35" s="77"/>
    </row>
    <row r="36" spans="2:20" ht="14.5" customHeight="1" x14ac:dyDescent="0.2">
      <c r="B36" s="22" t="s">
        <v>39</v>
      </c>
      <c r="C36" s="41">
        <f t="shared" si="2"/>
        <v>0.72</v>
      </c>
      <c r="D36" s="24">
        <f t="shared" si="2"/>
        <v>0.69333333333333336</v>
      </c>
      <c r="E36" s="24">
        <f t="shared" si="2"/>
        <v>16.3</v>
      </c>
      <c r="F36" s="24">
        <f t="shared" si="2"/>
        <v>14.896666666666668</v>
      </c>
      <c r="G36" s="24">
        <f t="shared" si="2"/>
        <v>50.36</v>
      </c>
      <c r="H36" s="24">
        <f t="shared" si="2"/>
        <v>73.61</v>
      </c>
      <c r="I36" s="24">
        <f t="shared" si="2"/>
        <v>120.14</v>
      </c>
      <c r="J36" s="24">
        <f t="shared" si="2"/>
        <v>141.93</v>
      </c>
      <c r="K36" s="24">
        <f t="shared" si="3"/>
        <v>0.5</v>
      </c>
      <c r="L36" s="24">
        <f t="shared" si="3"/>
        <v>0.5</v>
      </c>
      <c r="M36" s="25">
        <f t="shared" si="4"/>
        <v>2</v>
      </c>
      <c r="N36" s="25">
        <f t="shared" si="4"/>
        <v>3</v>
      </c>
      <c r="O36" s="24">
        <f t="shared" si="5"/>
        <v>0.5</v>
      </c>
      <c r="P36" s="46">
        <f t="shared" si="5"/>
        <v>0.33333333333333331</v>
      </c>
      <c r="Q36" s="77"/>
      <c r="R36" s="77"/>
    </row>
    <row r="37" spans="2:20" ht="14.5" customHeight="1" x14ac:dyDescent="0.2">
      <c r="B37" s="22" t="s">
        <v>38</v>
      </c>
      <c r="C37" s="41">
        <f t="shared" si="2"/>
        <v>0.63</v>
      </c>
      <c r="D37" s="24">
        <f t="shared" si="2"/>
        <v>0.59</v>
      </c>
      <c r="E37" s="24">
        <f t="shared" si="2"/>
        <v>9.07</v>
      </c>
      <c r="F37" s="24">
        <f t="shared" si="2"/>
        <v>8.8983333333333334</v>
      </c>
      <c r="G37" s="24">
        <f t="shared" si="2"/>
        <v>60.2</v>
      </c>
      <c r="H37" s="24">
        <f t="shared" si="2"/>
        <v>108.63</v>
      </c>
      <c r="I37" s="24">
        <f t="shared" si="2"/>
        <v>60.49</v>
      </c>
      <c r="J37" s="24">
        <f t="shared" si="2"/>
        <v>70.8</v>
      </c>
      <c r="K37" s="24">
        <f t="shared" si="3"/>
        <v>0.5</v>
      </c>
      <c r="L37" s="24">
        <f t="shared" si="3"/>
        <v>0.33333333333333331</v>
      </c>
      <c r="M37" s="25">
        <f t="shared" si="4"/>
        <v>3</v>
      </c>
      <c r="N37" s="25">
        <f t="shared" si="4"/>
        <v>4</v>
      </c>
      <c r="O37" s="24">
        <f t="shared" si="5"/>
        <v>0.5</v>
      </c>
      <c r="P37" s="46">
        <f t="shared" si="5"/>
        <v>0.5</v>
      </c>
      <c r="Q37" s="77"/>
      <c r="R37" s="77"/>
    </row>
    <row r="38" spans="2:20" ht="14.5" customHeight="1" thickBot="1" x14ac:dyDescent="0.25">
      <c r="B38" s="22" t="s">
        <v>40</v>
      </c>
      <c r="C38" s="42">
        <f t="shared" si="2"/>
        <v>0.75</v>
      </c>
      <c r="D38" s="39">
        <f t="shared" si="2"/>
        <v>0.745</v>
      </c>
      <c r="E38" s="39">
        <f t="shared" si="2"/>
        <v>31.45</v>
      </c>
      <c r="F38" s="39">
        <f t="shared" si="2"/>
        <v>29.268333333333334</v>
      </c>
      <c r="G38" s="39">
        <f t="shared" si="2"/>
        <v>92.93</v>
      </c>
      <c r="H38" s="39">
        <f t="shared" si="2"/>
        <v>147.31</v>
      </c>
      <c r="I38" s="39">
        <f t="shared" si="2"/>
        <v>201.02</v>
      </c>
      <c r="J38" s="39">
        <f t="shared" si="2"/>
        <v>249.27</v>
      </c>
      <c r="K38" s="39">
        <f t="shared" si="3"/>
        <v>0.25</v>
      </c>
      <c r="L38" s="39">
        <f t="shared" si="3"/>
        <v>0.33333333333333331</v>
      </c>
      <c r="M38" s="43">
        <f t="shared" si="4"/>
        <v>2</v>
      </c>
      <c r="N38" s="43">
        <f t="shared" si="4"/>
        <v>1</v>
      </c>
      <c r="O38" s="32">
        <f t="shared" si="5"/>
        <v>0.5</v>
      </c>
      <c r="P38" s="48">
        <f t="shared" si="5"/>
        <v>0.25</v>
      </c>
      <c r="Q38" s="77"/>
      <c r="R38" s="77"/>
    </row>
    <row r="39" spans="2:20" ht="19.75" customHeight="1" thickBot="1" x14ac:dyDescent="0.25">
      <c r="B39" s="44" t="s">
        <v>52</v>
      </c>
      <c r="C39" s="67">
        <f t="shared" ref="C39:P39" si="6">SQRT(C33^2+C34^2+C35^2+C36^2+C37^2+C38^2)</f>
        <v>1.6849925815860436</v>
      </c>
      <c r="D39" s="68">
        <f t="shared" si="6"/>
        <v>1.5950896874819018</v>
      </c>
      <c r="E39" s="68">
        <f t="shared" si="6"/>
        <v>49.098447022283707</v>
      </c>
      <c r="F39" s="68">
        <f t="shared" si="6"/>
        <v>46.58724035493934</v>
      </c>
      <c r="G39" s="68">
        <f t="shared" si="6"/>
        <v>153.87349186913255</v>
      </c>
      <c r="H39" s="68">
        <f t="shared" si="6"/>
        <v>236.36417071967571</v>
      </c>
      <c r="I39" s="68">
        <f t="shared" si="6"/>
        <v>334.40203617801131</v>
      </c>
      <c r="J39" s="68">
        <f t="shared" si="6"/>
        <v>396.84441019119822</v>
      </c>
      <c r="K39" s="64">
        <f t="shared" si="6"/>
        <v>1.6132265804901678</v>
      </c>
      <c r="L39" s="64">
        <f t="shared" si="6"/>
        <v>1.5849991237291654</v>
      </c>
      <c r="M39" s="68">
        <f t="shared" si="6"/>
        <v>8.2462112512353212</v>
      </c>
      <c r="N39" s="68">
        <f t="shared" si="6"/>
        <v>9.5916630466254382</v>
      </c>
      <c r="O39" s="64">
        <f t="shared" si="6"/>
        <v>1.6703293088490065</v>
      </c>
      <c r="P39" s="65">
        <f t="shared" si="6"/>
        <v>1.5695894721585997</v>
      </c>
      <c r="Q39" s="84"/>
      <c r="R39" s="84"/>
    </row>
    <row r="40" spans="2:20" ht="14.5" customHeight="1" thickBot="1" x14ac:dyDescent="0.25">
      <c r="B40" s="117" t="s">
        <v>35</v>
      </c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9"/>
      <c r="Q40" s="83"/>
      <c r="R40" s="83"/>
    </row>
    <row r="41" spans="2:20" ht="14.5" customHeight="1" thickBot="1" x14ac:dyDescent="0.2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</row>
    <row r="42" spans="2:20" ht="17.5" customHeight="1" thickBot="1" x14ac:dyDescent="0.25">
      <c r="B42" s="109" t="s">
        <v>48</v>
      </c>
      <c r="C42" s="110"/>
      <c r="D42" s="110"/>
      <c r="E42" s="110"/>
      <c r="F42" s="110"/>
      <c r="G42" s="110"/>
      <c r="H42" s="110"/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1"/>
    </row>
    <row r="43" spans="2:20" ht="17.5" customHeight="1" thickBot="1" x14ac:dyDescent="0.25">
      <c r="B43" s="122" t="s">
        <v>49</v>
      </c>
      <c r="C43" s="124" t="s">
        <v>44</v>
      </c>
      <c r="D43" s="125"/>
      <c r="E43" s="125"/>
      <c r="F43" s="125"/>
      <c r="G43" s="125"/>
      <c r="H43" s="125"/>
      <c r="I43" s="125"/>
      <c r="J43" s="126"/>
      <c r="K43" s="127" t="s">
        <v>45</v>
      </c>
      <c r="L43" s="127"/>
      <c r="M43" s="127"/>
      <c r="N43" s="127"/>
      <c r="O43" s="115"/>
      <c r="P43" s="116"/>
      <c r="Q43" s="92" t="s">
        <v>55</v>
      </c>
      <c r="R43" s="98" t="s">
        <v>59</v>
      </c>
      <c r="S43" s="93" t="s">
        <v>56</v>
      </c>
    </row>
    <row r="44" spans="2:20" ht="39.5" customHeight="1" x14ac:dyDescent="0.2">
      <c r="B44" s="122"/>
      <c r="C44" s="57" t="str">
        <f t="shared" ref="C44:N44" si="7">C19</f>
        <v>For whole sample</v>
      </c>
      <c r="D44" s="58" t="str">
        <f t="shared" si="7"/>
        <v>For sensitive subgroups</v>
      </c>
      <c r="E44" s="58" t="str">
        <f t="shared" si="7"/>
        <v>For whole sample</v>
      </c>
      <c r="F44" s="58" t="str">
        <f t="shared" si="7"/>
        <v>For sensitive subgroups</v>
      </c>
      <c r="G44" s="58" t="str">
        <f t="shared" si="7"/>
        <v>In peak hours</v>
      </c>
      <c r="H44" s="58" t="str">
        <f t="shared" si="7"/>
        <v>In off-peak hours</v>
      </c>
      <c r="I44" s="58" t="str">
        <f t="shared" si="7"/>
        <v>In peak hours</v>
      </c>
      <c r="J44" s="58" t="str">
        <f t="shared" si="7"/>
        <v>In off-peak hours</v>
      </c>
      <c r="K44" s="59" t="str">
        <f t="shared" si="7"/>
        <v>Monetary cost of travel</v>
      </c>
      <c r="L44" s="59" t="str">
        <f t="shared" si="7"/>
        <v>Risk unpunct./disservice</v>
      </c>
      <c r="M44" s="58" t="str">
        <f t="shared" si="7"/>
        <v>Percept. on-board safety</v>
      </c>
      <c r="N44" s="58" t="str">
        <f t="shared" si="7"/>
        <v>Understandability for users</v>
      </c>
      <c r="O44" s="59" t="s">
        <v>53</v>
      </c>
      <c r="P44" s="63" t="s">
        <v>54</v>
      </c>
      <c r="Q44" s="144" t="s">
        <v>50</v>
      </c>
      <c r="R44" s="131" t="s">
        <v>50</v>
      </c>
      <c r="S44" s="135" t="s">
        <v>50</v>
      </c>
    </row>
    <row r="45" spans="2:20" ht="16" thickBot="1" x14ac:dyDescent="0.25">
      <c r="B45" s="123"/>
      <c r="C45" s="33" t="s">
        <v>1</v>
      </c>
      <c r="D45" s="34" t="s">
        <v>2</v>
      </c>
      <c r="E45" s="34" t="s">
        <v>3</v>
      </c>
      <c r="F45" s="34" t="s">
        <v>4</v>
      </c>
      <c r="G45" s="34" t="s">
        <v>5</v>
      </c>
      <c r="H45" s="34" t="s">
        <v>6</v>
      </c>
      <c r="I45" s="34" t="s">
        <v>7</v>
      </c>
      <c r="J45" s="34" t="s">
        <v>8</v>
      </c>
      <c r="K45" s="35" t="s">
        <v>9</v>
      </c>
      <c r="L45" s="35" t="s">
        <v>10</v>
      </c>
      <c r="M45" s="34" t="s">
        <v>11</v>
      </c>
      <c r="N45" s="34" t="s">
        <v>12</v>
      </c>
      <c r="O45" s="8" t="s">
        <v>13</v>
      </c>
      <c r="P45" s="61" t="s">
        <v>14</v>
      </c>
      <c r="Q45" s="145"/>
      <c r="R45" s="132"/>
      <c r="S45" s="136"/>
    </row>
    <row r="46" spans="2:20" ht="14.5" customHeight="1" x14ac:dyDescent="0.2">
      <c r="B46" s="21" t="s">
        <v>46</v>
      </c>
      <c r="C46" s="38">
        <f t="shared" ref="C46:P51" si="8">C33/C$39</f>
        <v>0.29673721146556137</v>
      </c>
      <c r="D46" s="28">
        <f t="shared" si="8"/>
        <v>0.29569915119397844</v>
      </c>
      <c r="E46" s="28">
        <f t="shared" si="8"/>
        <v>1.9145208392708911E-2</v>
      </c>
      <c r="F46" s="28">
        <f t="shared" si="8"/>
        <v>2.339696431244901E-2</v>
      </c>
      <c r="G46" s="28">
        <f t="shared" si="8"/>
        <v>9.0983832432338776E-2</v>
      </c>
      <c r="H46" s="28">
        <f t="shared" si="8"/>
        <v>0.10115746361726242</v>
      </c>
      <c r="I46" s="28">
        <f t="shared" si="8"/>
        <v>7.8976791833711313E-2</v>
      </c>
      <c r="J46" s="28">
        <f t="shared" si="8"/>
        <v>6.6550011343931376E-2</v>
      </c>
      <c r="K46" s="28">
        <f t="shared" si="8"/>
        <v>0.61987572737374363</v>
      </c>
      <c r="L46" s="28">
        <f t="shared" si="8"/>
        <v>0.63091517530130425</v>
      </c>
      <c r="M46" s="28">
        <f t="shared" si="8"/>
        <v>0.60633906259083248</v>
      </c>
      <c r="N46" s="28">
        <f t="shared" si="8"/>
        <v>0.5212860351426869</v>
      </c>
      <c r="O46" s="28">
        <f t="shared" si="8"/>
        <v>0.59868434008924964</v>
      </c>
      <c r="P46" s="45">
        <f t="shared" si="8"/>
        <v>0.63710926821185676</v>
      </c>
      <c r="Q46" s="85">
        <f t="shared" ref="Q46:Q51" si="9">(C46*$C$52+D46*$D$52+E46*$E$52+F46*$F$52+G46*$G$52+H46*$H$52+I46*$I$52+J46*$J$52)/SUM($C$52:$J$52)</f>
        <v>8.7227621360265073E-2</v>
      </c>
      <c r="R46" s="99">
        <f t="shared" ref="R46:R51" si="10">(K46*$K$52+L46*$L$52+M46*$M$52+N46*$N$52+O46*$O$52+P46*$P$52)/SUM($K$52:$P$52)</f>
        <v>0.61310472473914246</v>
      </c>
      <c r="S46" s="95">
        <f t="shared" ref="S46:S51" si="11">(C46*$C$52+D46*$D$52+E46*$E$52+F46*$F$52+G46*$G$52+H46*$H$52+I46*$I$52+J46*$J$52+K46*$K$52+L46*$L$52+M46*$M$52+N46*$N$52+O46*$O$52+P46*$P$52)/SUM($C$52:$P$52)</f>
        <v>0.24499075237392828</v>
      </c>
      <c r="T46" s="49"/>
    </row>
    <row r="47" spans="2:20" ht="14.5" customHeight="1" x14ac:dyDescent="0.2">
      <c r="B47" s="22" t="s">
        <v>36</v>
      </c>
      <c r="C47" s="41">
        <f t="shared" si="8"/>
        <v>0.3857583749052298</v>
      </c>
      <c r="D47" s="24">
        <f t="shared" si="8"/>
        <v>0.34376332417957206</v>
      </c>
      <c r="E47" s="24">
        <f t="shared" si="8"/>
        <v>4.1141830801353196E-2</v>
      </c>
      <c r="F47" s="24">
        <f t="shared" si="8"/>
        <v>3.8923390171168991E-2</v>
      </c>
      <c r="G47" s="24">
        <f t="shared" si="8"/>
        <v>0.11457464041300948</v>
      </c>
      <c r="H47" s="24">
        <f t="shared" si="8"/>
        <v>0.11329974385906683</v>
      </c>
      <c r="I47" s="24">
        <f t="shared" si="8"/>
        <v>9.7786485913001139E-2</v>
      </c>
      <c r="J47" s="24">
        <f t="shared" si="8"/>
        <v>8.7943786289405718E-2</v>
      </c>
      <c r="K47" s="24">
        <f t="shared" si="8"/>
        <v>0.61987572737374363</v>
      </c>
      <c r="L47" s="24">
        <f t="shared" si="8"/>
        <v>0.63091517530130425</v>
      </c>
      <c r="M47" s="24">
        <f t="shared" si="8"/>
        <v>0.60633906259083248</v>
      </c>
      <c r="N47" s="24">
        <f t="shared" si="8"/>
        <v>0.5212860351426869</v>
      </c>
      <c r="O47" s="24">
        <f t="shared" si="8"/>
        <v>0.59868434008924964</v>
      </c>
      <c r="P47" s="46">
        <f t="shared" si="8"/>
        <v>0.63710926821185676</v>
      </c>
      <c r="Q47" s="86">
        <f t="shared" si="9"/>
        <v>0.11334171351825061</v>
      </c>
      <c r="R47" s="100">
        <f t="shared" si="10"/>
        <v>0.61310472473914246</v>
      </c>
      <c r="S47" s="96">
        <f t="shared" si="11"/>
        <v>0.26327061688451814</v>
      </c>
      <c r="T47" s="49"/>
    </row>
    <row r="48" spans="2:20" ht="14.5" customHeight="1" x14ac:dyDescent="0.2">
      <c r="B48" s="22" t="s">
        <v>37</v>
      </c>
      <c r="C48" s="41">
        <f t="shared" si="8"/>
        <v>0.49258377103283185</v>
      </c>
      <c r="D48" s="24">
        <f t="shared" si="8"/>
        <v>0.50049432304563835</v>
      </c>
      <c r="E48" s="24">
        <f t="shared" si="8"/>
        <v>0.66580517272090889</v>
      </c>
      <c r="F48" s="24">
        <f t="shared" si="8"/>
        <v>0.68155285491814377</v>
      </c>
      <c r="G48" s="24">
        <f t="shared" si="8"/>
        <v>0.59470932184880876</v>
      </c>
      <c r="H48" s="24">
        <f t="shared" si="8"/>
        <v>0.52943726462000085</v>
      </c>
      <c r="I48" s="24">
        <f t="shared" si="8"/>
        <v>0.67900304255064337</v>
      </c>
      <c r="J48" s="24">
        <f t="shared" si="8"/>
        <v>0.65844445150205488</v>
      </c>
      <c r="K48" s="24">
        <f t="shared" si="8"/>
        <v>0.12397514547474875</v>
      </c>
      <c r="L48" s="24">
        <f t="shared" si="8"/>
        <v>0.12618303506026085</v>
      </c>
      <c r="M48" s="24">
        <f t="shared" si="8"/>
        <v>0.12126781251816648</v>
      </c>
      <c r="N48" s="24">
        <f t="shared" si="8"/>
        <v>0.41702882811414954</v>
      </c>
      <c r="O48" s="24">
        <f t="shared" si="8"/>
        <v>0.11973686801784994</v>
      </c>
      <c r="P48" s="46">
        <f t="shared" si="8"/>
        <v>0.12742185364237135</v>
      </c>
      <c r="Q48" s="86">
        <f t="shared" si="9"/>
        <v>0.61920573510299692</v>
      </c>
      <c r="R48" s="100">
        <f t="shared" si="10"/>
        <v>0.1538981070563897</v>
      </c>
      <c r="S48" s="96">
        <f t="shared" si="11"/>
        <v>0.47961344668901484</v>
      </c>
      <c r="T48" s="49"/>
    </row>
    <row r="49" spans="2:20" ht="14.5" customHeight="1" x14ac:dyDescent="0.2">
      <c r="B49" s="22" t="s">
        <v>39</v>
      </c>
      <c r="C49" s="41">
        <f t="shared" si="8"/>
        <v>0.42730158451040839</v>
      </c>
      <c r="D49" s="24">
        <f t="shared" si="8"/>
        <v>0.43466730352189054</v>
      </c>
      <c r="E49" s="24">
        <f t="shared" si="8"/>
        <v>0.33198606042676099</v>
      </c>
      <c r="F49" s="24">
        <f t="shared" si="8"/>
        <v>0.31975851227013646</v>
      </c>
      <c r="G49" s="24">
        <f t="shared" si="8"/>
        <v>0.32728184294947005</v>
      </c>
      <c r="H49" s="24">
        <f t="shared" si="8"/>
        <v>0.31142621902411904</v>
      </c>
      <c r="I49" s="24">
        <f t="shared" si="8"/>
        <v>0.35926814732684881</v>
      </c>
      <c r="J49" s="24">
        <f t="shared" si="8"/>
        <v>0.35764646384112764</v>
      </c>
      <c r="K49" s="24">
        <f t="shared" si="8"/>
        <v>0.30993786368687182</v>
      </c>
      <c r="L49" s="24">
        <f t="shared" si="8"/>
        <v>0.31545758765065213</v>
      </c>
      <c r="M49" s="24">
        <f t="shared" si="8"/>
        <v>0.24253562503633297</v>
      </c>
      <c r="N49" s="24">
        <f t="shared" si="8"/>
        <v>0.31277162108561218</v>
      </c>
      <c r="O49" s="24">
        <f t="shared" si="8"/>
        <v>0.29934217004462482</v>
      </c>
      <c r="P49" s="46">
        <f t="shared" si="8"/>
        <v>0.21236975607061892</v>
      </c>
      <c r="Q49" s="86">
        <f t="shared" si="9"/>
        <v>0.3467232507347448</v>
      </c>
      <c r="R49" s="100">
        <f t="shared" si="10"/>
        <v>0.29710447450019489</v>
      </c>
      <c r="S49" s="96">
        <f t="shared" si="11"/>
        <v>0.33183761786437982</v>
      </c>
      <c r="T49" s="49"/>
    </row>
    <row r="50" spans="2:20" ht="14.5" customHeight="1" x14ac:dyDescent="0.2">
      <c r="B50" s="22" t="s">
        <v>38</v>
      </c>
      <c r="C50" s="41">
        <f t="shared" si="8"/>
        <v>0.37388888644660734</v>
      </c>
      <c r="D50" s="24">
        <f t="shared" si="8"/>
        <v>0.36988515732391647</v>
      </c>
      <c r="E50" s="24">
        <f t="shared" si="8"/>
        <v>0.18473089374667007</v>
      </c>
      <c r="F50" s="24">
        <f t="shared" si="8"/>
        <v>0.19100365820208756</v>
      </c>
      <c r="G50" s="24">
        <f t="shared" si="8"/>
        <v>0.39123047945905676</v>
      </c>
      <c r="H50" s="24">
        <f t="shared" si="8"/>
        <v>0.45958742253212953</v>
      </c>
      <c r="I50" s="24">
        <f t="shared" si="8"/>
        <v>0.1808900468769859</v>
      </c>
      <c r="J50" s="24">
        <f t="shared" si="8"/>
        <v>0.1784074518421182</v>
      </c>
      <c r="K50" s="24">
        <f t="shared" si="8"/>
        <v>0.30993786368687182</v>
      </c>
      <c r="L50" s="24">
        <f t="shared" si="8"/>
        <v>0.21030505843376807</v>
      </c>
      <c r="M50" s="24">
        <f t="shared" si="8"/>
        <v>0.36380343755449945</v>
      </c>
      <c r="N50" s="24">
        <f t="shared" si="8"/>
        <v>0.41702882811414954</v>
      </c>
      <c r="O50" s="24">
        <f t="shared" si="8"/>
        <v>0.29934217004462482</v>
      </c>
      <c r="P50" s="46">
        <f t="shared" si="8"/>
        <v>0.31855463410592838</v>
      </c>
      <c r="Q50" s="86">
        <f t="shared" si="9"/>
        <v>0.26520108644613694</v>
      </c>
      <c r="R50" s="100">
        <f t="shared" si="10"/>
        <v>0.29118236076882936</v>
      </c>
      <c r="S50" s="96">
        <f t="shared" si="11"/>
        <v>0.27299546874294472</v>
      </c>
      <c r="T50" s="49"/>
    </row>
    <row r="51" spans="2:20" ht="14.5" customHeight="1" thickBot="1" x14ac:dyDescent="0.25">
      <c r="B51" s="22" t="s">
        <v>40</v>
      </c>
      <c r="C51" s="47">
        <f t="shared" si="8"/>
        <v>0.44510581719834208</v>
      </c>
      <c r="D51" s="32">
        <f t="shared" si="8"/>
        <v>0.46705837662087757</v>
      </c>
      <c r="E51" s="32">
        <f t="shared" si="8"/>
        <v>0.64054979143690993</v>
      </c>
      <c r="F51" s="32">
        <f t="shared" si="8"/>
        <v>0.62824784448152449</v>
      </c>
      <c r="G51" s="32">
        <f t="shared" si="8"/>
        <v>0.60393768199551745</v>
      </c>
      <c r="H51" s="32">
        <f t="shared" si="8"/>
        <v>0.62323320641819024</v>
      </c>
      <c r="I51" s="32">
        <f t="shared" si="8"/>
        <v>0.60113270330983148</v>
      </c>
      <c r="J51" s="32">
        <f t="shared" si="8"/>
        <v>0.62813030396447467</v>
      </c>
      <c r="K51" s="32">
        <f t="shared" si="8"/>
        <v>0.15496893184343591</v>
      </c>
      <c r="L51" s="32">
        <f t="shared" si="8"/>
        <v>0.21030505843376807</v>
      </c>
      <c r="M51" s="32">
        <f t="shared" si="8"/>
        <v>0.24253562503633297</v>
      </c>
      <c r="N51" s="32">
        <f t="shared" si="8"/>
        <v>0.10425720702853739</v>
      </c>
      <c r="O51" s="32">
        <f t="shared" si="8"/>
        <v>0.29934217004462482</v>
      </c>
      <c r="P51" s="48">
        <f t="shared" si="8"/>
        <v>0.15927731705296419</v>
      </c>
      <c r="Q51" s="87">
        <f t="shared" si="9"/>
        <v>0.60276117532861329</v>
      </c>
      <c r="R51" s="101">
        <f t="shared" si="10"/>
        <v>0.18423663550594865</v>
      </c>
      <c r="S51" s="97">
        <f t="shared" si="11"/>
        <v>0.47720381338181395</v>
      </c>
      <c r="T51" s="49"/>
    </row>
    <row r="52" spans="2:20" ht="19.75" customHeight="1" thickBot="1" x14ac:dyDescent="0.25">
      <c r="B52" s="51" t="s">
        <v>51</v>
      </c>
      <c r="C52" s="88">
        <f t="shared" ref="C52:P52" si="12">C14</f>
        <v>0.05</v>
      </c>
      <c r="D52" s="89">
        <f t="shared" si="12"/>
        <v>0.05</v>
      </c>
      <c r="E52" s="89">
        <f t="shared" si="12"/>
        <v>0.2</v>
      </c>
      <c r="F52" s="89">
        <f t="shared" si="12"/>
        <v>0.1</v>
      </c>
      <c r="G52" s="89">
        <f t="shared" si="12"/>
        <v>0.05</v>
      </c>
      <c r="H52" s="89">
        <f t="shared" si="12"/>
        <v>0.1</v>
      </c>
      <c r="I52" s="89">
        <f t="shared" si="12"/>
        <v>0.05</v>
      </c>
      <c r="J52" s="89">
        <f t="shared" si="12"/>
        <v>0.1</v>
      </c>
      <c r="K52" s="90">
        <f t="shared" si="12"/>
        <v>0.1</v>
      </c>
      <c r="L52" s="90">
        <f t="shared" si="12"/>
        <v>0.1</v>
      </c>
      <c r="M52" s="89">
        <f t="shared" si="12"/>
        <v>0.02</v>
      </c>
      <c r="N52" s="89">
        <f t="shared" si="12"/>
        <v>0.03</v>
      </c>
      <c r="O52" s="90">
        <f t="shared" si="12"/>
        <v>0.02</v>
      </c>
      <c r="P52" s="91">
        <f t="shared" si="12"/>
        <v>0.03</v>
      </c>
      <c r="Q52" s="128">
        <f>SUM(C52:P52)</f>
        <v>1</v>
      </c>
      <c r="R52" s="129"/>
      <c r="S52" s="130"/>
    </row>
    <row r="53" spans="2:20" ht="14.5" customHeight="1" thickBot="1" x14ac:dyDescent="0.25">
      <c r="B53" s="117" t="s">
        <v>35</v>
      </c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9"/>
    </row>
    <row r="55" spans="2:20" x14ac:dyDescent="0.2">
      <c r="G55" s="2"/>
    </row>
  </sheetData>
  <mergeCells count="43">
    <mergeCell ref="B53:S53"/>
    <mergeCell ref="Q52:S52"/>
    <mergeCell ref="B43:B45"/>
    <mergeCell ref="C43:J43"/>
    <mergeCell ref="K43:P43"/>
    <mergeCell ref="Q44:Q45"/>
    <mergeCell ref="R44:R45"/>
    <mergeCell ref="S44:S45"/>
    <mergeCell ref="B42:S42"/>
    <mergeCell ref="B15:P15"/>
    <mergeCell ref="B17:P17"/>
    <mergeCell ref="B18:B20"/>
    <mergeCell ref="C18:J18"/>
    <mergeCell ref="K18:P18"/>
    <mergeCell ref="B27:P27"/>
    <mergeCell ref="B29:P29"/>
    <mergeCell ref="B30:B32"/>
    <mergeCell ref="C30:J30"/>
    <mergeCell ref="K30:P30"/>
    <mergeCell ref="B40:P40"/>
    <mergeCell ref="C10:D10"/>
    <mergeCell ref="E10:F10"/>
    <mergeCell ref="G10:H10"/>
    <mergeCell ref="I10:J10"/>
    <mergeCell ref="K10:P10"/>
    <mergeCell ref="C11:D11"/>
    <mergeCell ref="E11:F11"/>
    <mergeCell ref="G11:H11"/>
    <mergeCell ref="I11:J11"/>
    <mergeCell ref="K11:P11"/>
    <mergeCell ref="C8:F8"/>
    <mergeCell ref="G8:J8"/>
    <mergeCell ref="K8:P8"/>
    <mergeCell ref="C9:F9"/>
    <mergeCell ref="G9:J9"/>
    <mergeCell ref="K9:P9"/>
    <mergeCell ref="C7:J7"/>
    <mergeCell ref="K7:P7"/>
    <mergeCell ref="C2:P2"/>
    <mergeCell ref="C3:P3"/>
    <mergeCell ref="B5:P5"/>
    <mergeCell ref="C6:J6"/>
    <mergeCell ref="K6:P6"/>
  </mergeCells>
  <conditionalFormatting sqref="Q46:Q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46:R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46:S51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119998a-2294-496c-a5cd-b97a01ea734e" xsi:nil="true"/>
    <lcf76f155ced4ddcb4097134ff3c332f xmlns="a0a3a471-5bf1-41f0-999f-9e9ca6d96f3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736201431D9A4BB05B4209783E74C5" ma:contentTypeVersion="15" ma:contentTypeDescription="Create a new document." ma:contentTypeScope="" ma:versionID="7ccbda220f4d962993be5179eb4584f0">
  <xsd:schema xmlns:xsd="http://www.w3.org/2001/XMLSchema" xmlns:xs="http://www.w3.org/2001/XMLSchema" xmlns:p="http://schemas.microsoft.com/office/2006/metadata/properties" xmlns:ns2="a0a3a471-5bf1-41f0-999f-9e9ca6d96f3c" xmlns:ns3="7119998a-2294-496c-a5cd-b97a01ea734e" targetNamespace="http://schemas.microsoft.com/office/2006/metadata/properties" ma:root="true" ma:fieldsID="d3c30963d753ce8d6bfef9353360b03a" ns2:_="" ns3:_="">
    <xsd:import namespace="a0a3a471-5bf1-41f0-999f-9e9ca6d96f3c"/>
    <xsd:import namespace="7119998a-2294-496c-a5cd-b97a01ea73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a3a471-5bf1-41f0-999f-9e9ca6d96f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dedd1c77-ecac-4adc-8928-a4b79cad4f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9998a-2294-496c-a5cd-b97a01ea734e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66706bb-c11c-445d-8514-5afd2972a5d1}" ma:internalName="TaxCatchAll" ma:showField="CatchAllData" ma:web="7119998a-2294-496c-a5cd-b97a01ea73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1F7EB85-A1D6-488A-B2AD-C901C3415E80}">
  <ds:schemaRefs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7119998a-2294-496c-a5cd-b97a01ea734e"/>
    <ds:schemaRef ds:uri="a0a3a471-5bf1-41f0-999f-9e9ca6d96f3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34277FA-31AC-4248-80A6-B33097C829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C0C7D9-1443-4982-B3C8-291E902F9A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a3a471-5bf1-41f0-999f-9e9ca6d96f3c"/>
    <ds:schemaRef ds:uri="7119998a-2294-496c-a5cd-b97a01ea73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NWA_Muehlwald_Reference</vt:lpstr>
      <vt:lpstr>NWA_Muehlwald_Stk1</vt:lpstr>
      <vt:lpstr>NWA_Muehlwald_Stk2</vt:lpstr>
      <vt:lpstr>NWA_Muehlwald_Stk3</vt:lpstr>
      <vt:lpstr>NWA_Muehlwald_Stk4</vt:lpstr>
      <vt:lpstr>NWA_Muehlwald_Stk5</vt:lpstr>
    </vt:vector>
  </TitlesOfParts>
  <Company>Scientificnetwork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ADianin</dc:creator>
  <cp:lastModifiedBy>Tabea Fian</cp:lastModifiedBy>
  <dcterms:created xsi:type="dcterms:W3CDTF">2024-01-12T08:48:40Z</dcterms:created>
  <dcterms:modified xsi:type="dcterms:W3CDTF">2024-05-25T08:25:30Z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0x010100F5736201431D9A4BB05B4209783E74C5</vt:lpwstr>
  </property>
  <property fmtid="{D5CDD505-2E9C-101B-9397-08002B2CF9AE}" pid="3" name="MediaServiceImageTags">
    <vt:lpwstr/>
  </property>
</Properties>
</file>